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ml.chartshapes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eaucag/Avaratec Desktop/public_html/Classes/ChEThermoBeaucage/Quizzes 2021 Chemical Engineering Thermodynamics/Quiz 13 ChE Thermo 2021/"/>
    </mc:Choice>
  </mc:AlternateContent>
  <xr:revisionPtr revIDLastSave="0" documentId="10_ncr:8100000_{235A2006-04A1-084B-8936-BD02386EFA7A}" xr6:coauthVersionLast="34" xr6:coauthVersionMax="34" xr10:uidLastSave="{00000000-0000-0000-0000-000000000000}"/>
  <bookViews>
    <workbookView xWindow="180" yWindow="1060" windowWidth="20240" windowHeight="17360" tabRatio="833" firstSheet="7" activeTab="9" xr2:uid="{00000000-000D-0000-FFFF-FFFF00000000}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(LLEa)'!$D$22,'UNIFAC (LLEa)'!$B$22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cvg" localSheetId="9" hidden="1">0.0001</definedName>
    <definedName name="solver_drv" localSheetId="2" hidden="1">1</definedName>
    <definedName name="solver_drv" localSheetId="9" hidden="1">2</definedName>
    <definedName name="solver_eng" localSheetId="9" hidden="1">1</definedName>
    <definedName name="solver_est" localSheetId="2" hidden="1">1</definedName>
    <definedName name="solver_itr" localSheetId="2" hidden="1">100</definedName>
    <definedName name="solver_itr" localSheetId="9" hidden="1">2147483647</definedName>
    <definedName name="solver_lhs1" localSheetId="2" hidden="1">Regular!$C$37</definedName>
    <definedName name="solver_lin" localSheetId="2" hidden="1">2</definedName>
    <definedName name="solver_lin" localSheetId="9" hidden="1">2</definedName>
    <definedName name="solver_lin" localSheetId="10" hidden="1">0</definedName>
    <definedName name="solver_lin" localSheetId="7" hidden="1">0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2" hidden="1">2</definedName>
    <definedName name="solver_neg" localSheetId="9" hidden="1">1</definedName>
    <definedName name="solver_nod" localSheetId="9" hidden="1">2147483647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pre" localSheetId="9" hidden="1">0.000001</definedName>
    <definedName name="solver_rbv" localSheetId="9" hidden="1">2</definedName>
    <definedName name="solver_rel1" localSheetId="2" hidden="1">2</definedName>
    <definedName name="solver_rhs1" localSheetId="2" hidden="1">0</definedName>
    <definedName name="solver_rlx" localSheetId="9" hidden="1">2</definedName>
    <definedName name="solver_rsd" localSheetId="9" hidden="1">0</definedName>
    <definedName name="solver_scl" localSheetId="2" hidden="1">2</definedName>
    <definedName name="solver_scl" localSheetId="9" hidden="1">2</definedName>
    <definedName name="solver_sho" localSheetId="2" hidden="1">2</definedName>
    <definedName name="solver_sho" localSheetId="9" hidden="1">2</definedName>
    <definedName name="solver_ssz" localSheetId="9" hidden="1">100</definedName>
    <definedName name="solver_tim" localSheetId="2" hidden="1">100</definedName>
    <definedName name="solver_tim" localSheetId="9" hidden="1">2147483647</definedName>
    <definedName name="solver_tol" localSheetId="2" hidden="1">0.05</definedName>
    <definedName name="solver_tol" localSheetId="9" hidden="1">0.01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solver_ver" localSheetId="9" hidden="1">2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2" i="9" l="1"/>
  <c r="B17" i="9" l="1"/>
  <c r="D17" i="9"/>
  <c r="D16" i="12" s="1"/>
  <c r="C17" i="9"/>
  <c r="C16" i="12" s="1"/>
  <c r="G2" i="18"/>
  <c r="G3" i="18"/>
  <c r="G5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H7" i="17"/>
  <c r="C10" i="17"/>
  <c r="D10" i="17"/>
  <c r="E10" i="17"/>
  <c r="F10" i="17"/>
  <c r="G10" i="17"/>
  <c r="B11" i="17"/>
  <c r="J11" i="17" a="1"/>
  <c r="L11" i="17" s="1"/>
  <c r="J11" i="17"/>
  <c r="K11" i="17"/>
  <c r="M11" i="17"/>
  <c r="N11" i="17"/>
  <c r="B12" i="17"/>
  <c r="B19" i="17" s="1"/>
  <c r="B26" i="17" s="1"/>
  <c r="K12" i="17"/>
  <c r="L12" i="17"/>
  <c r="M12" i="17"/>
  <c r="B13" i="17"/>
  <c r="B20" i="17" s="1"/>
  <c r="B27" i="17" s="1"/>
  <c r="J13" i="17"/>
  <c r="K13" i="17"/>
  <c r="M13" i="17"/>
  <c r="N13" i="17"/>
  <c r="B14" i="17"/>
  <c r="B21" i="17" s="1"/>
  <c r="B28" i="17" s="1"/>
  <c r="K14" i="17"/>
  <c r="L14" i="17"/>
  <c r="M14" i="17"/>
  <c r="B15" i="17"/>
  <c r="J15" i="17"/>
  <c r="K15" i="17"/>
  <c r="M15" i="17"/>
  <c r="N15" i="17"/>
  <c r="C17" i="17"/>
  <c r="D17" i="17"/>
  <c r="E17" i="17"/>
  <c r="F17" i="17"/>
  <c r="G17" i="17"/>
  <c r="B18" i="17"/>
  <c r="D25" i="17"/>
  <c r="E25" i="17"/>
  <c r="F25" i="17"/>
  <c r="G25" i="17"/>
  <c r="E26" i="17"/>
  <c r="F26" i="17"/>
  <c r="G26" i="17"/>
  <c r="F27" i="17"/>
  <c r="G27" i="17"/>
  <c r="G28" i="17"/>
  <c r="B22" i="17"/>
  <c r="C24" i="17"/>
  <c r="D24" i="17"/>
  <c r="E24" i="17"/>
  <c r="F24" i="17"/>
  <c r="G24" i="17"/>
  <c r="B25" i="17"/>
  <c r="B29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C26" i="5"/>
  <c r="C34" i="5" s="1"/>
  <c r="D26" i="5"/>
  <c r="D34" i="5"/>
  <c r="E34" i="5"/>
  <c r="F34" i="5"/>
  <c r="B27" i="5"/>
  <c r="B35" i="5"/>
  <c r="D27" i="5"/>
  <c r="D35" i="5" s="1"/>
  <c r="E35" i="5"/>
  <c r="F35" i="5"/>
  <c r="B28" i="5"/>
  <c r="B36" i="5" s="1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/>
  <c r="O45" i="3" s="1"/>
  <c r="B19" i="3"/>
  <c r="B42" i="3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E42" i="3"/>
  <c r="E46" i="3" s="1"/>
  <c r="F19" i="3"/>
  <c r="F42" i="3"/>
  <c r="F46" i="3" s="1"/>
  <c r="H19" i="3"/>
  <c r="H42" i="3" s="1"/>
  <c r="H46" i="3" s="1"/>
  <c r="I19" i="3"/>
  <c r="I41" i="3" s="1"/>
  <c r="J19" i="3"/>
  <c r="J42" i="3" s="1"/>
  <c r="J46" i="3"/>
  <c r="J48" i="3" s="1"/>
  <c r="K19" i="3"/>
  <c r="K41" i="3"/>
  <c r="K45" i="3" s="1"/>
  <c r="L19" i="3"/>
  <c r="L42" i="3" s="1"/>
  <c r="L46" i="3"/>
  <c r="N19" i="3"/>
  <c r="N42" i="3" s="1"/>
  <c r="D19" i="3"/>
  <c r="D24" i="3" s="1"/>
  <c r="C19" i="3"/>
  <c r="B6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/>
  <c r="S9" i="10"/>
  <c r="S30" i="10" s="1"/>
  <c r="T9" i="10"/>
  <c r="T30" i="10" s="1"/>
  <c r="U9" i="10"/>
  <c r="U30" i="10" s="1"/>
  <c r="V9" i="10"/>
  <c r="V30" i="10" s="1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 s="1"/>
  <c r="G9" i="10"/>
  <c r="G30" i="10"/>
  <c r="H9" i="10"/>
  <c r="H30" i="10" s="1"/>
  <c r="I9" i="10"/>
  <c r="I30" i="10"/>
  <c r="J9" i="10"/>
  <c r="J30" i="10" s="1"/>
  <c r="K9" i="10"/>
  <c r="K30" i="10"/>
  <c r="L9" i="10"/>
  <c r="L30" i="10" s="1"/>
  <c r="M9" i="10"/>
  <c r="M30" i="10"/>
  <c r="N9" i="10"/>
  <c r="N30" i="10" s="1"/>
  <c r="O9" i="10"/>
  <c r="O30" i="10"/>
  <c r="P9" i="10"/>
  <c r="P30" i="10" s="1"/>
  <c r="Q9" i="10"/>
  <c r="Q30" i="10"/>
  <c r="E9" i="10"/>
  <c r="E30" i="10" s="1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 s="1"/>
  <c r="T27" i="16"/>
  <c r="X27" i="16"/>
  <c r="W27" i="16"/>
  <c r="T26" i="16"/>
  <c r="W26" i="16" s="1"/>
  <c r="U26" i="16"/>
  <c r="AO8" i="16" s="1"/>
  <c r="T25" i="16"/>
  <c r="X25" i="16" s="1"/>
  <c r="T24" i="16"/>
  <c r="W24" i="16"/>
  <c r="T23" i="16"/>
  <c r="T22" i="16"/>
  <c r="W22" i="16"/>
  <c r="U22" i="16"/>
  <c r="T21" i="16"/>
  <c r="X21" i="16"/>
  <c r="W21" i="16"/>
  <c r="T20" i="16"/>
  <c r="T19" i="16"/>
  <c r="X19" i="16"/>
  <c r="T18" i="16"/>
  <c r="W18" i="16"/>
  <c r="U18" i="16"/>
  <c r="T17" i="16"/>
  <c r="X17" i="16" s="1"/>
  <c r="T16" i="16"/>
  <c r="U16" i="16" s="1"/>
  <c r="AE8" i="16" s="1"/>
  <c r="T15" i="16"/>
  <c r="X15" i="16"/>
  <c r="T14" i="16"/>
  <c r="W14" i="16" s="1"/>
  <c r="T13" i="16"/>
  <c r="T12" i="16"/>
  <c r="W12" i="16" s="1"/>
  <c r="U12" i="16"/>
  <c r="T11" i="16"/>
  <c r="X11" i="16"/>
  <c r="T10" i="16"/>
  <c r="U10" i="16" s="1"/>
  <c r="W10" i="16"/>
  <c r="T29" i="16"/>
  <c r="AG8" i="16"/>
  <c r="AA8" i="16"/>
  <c r="Y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B54" i="3"/>
  <c r="E54" i="3"/>
  <c r="H54" i="3" s="1"/>
  <c r="B55" i="3"/>
  <c r="E55" i="3"/>
  <c r="C56" i="3"/>
  <c r="D56" i="3"/>
  <c r="E56" i="3"/>
  <c r="F56" i="3"/>
  <c r="G14" i="3"/>
  <c r="G40" i="3"/>
  <c r="H56" i="3"/>
  <c r="I56" i="3"/>
  <c r="J56" i="3"/>
  <c r="K56" i="3"/>
  <c r="L56" i="3"/>
  <c r="M14" i="3"/>
  <c r="M40" i="3" s="1"/>
  <c r="N56" i="3"/>
  <c r="O56" i="3"/>
  <c r="B56" i="3"/>
  <c r="B40" i="3"/>
  <c r="E25" i="3"/>
  <c r="I25" i="3"/>
  <c r="O25" i="3"/>
  <c r="C23" i="3"/>
  <c r="D23" i="3"/>
  <c r="E23" i="3"/>
  <c r="F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6" i="12"/>
  <c r="B42" i="9"/>
  <c r="C42" i="9"/>
  <c r="D42" i="9"/>
  <c r="E42" i="9"/>
  <c r="F42" i="9"/>
  <c r="G24" i="9" a="1"/>
  <c r="G24" i="9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/>
  <c r="G31" i="9" a="1"/>
  <c r="G32" i="9" a="1"/>
  <c r="G32" i="9"/>
  <c r="G33" i="9" a="1"/>
  <c r="G33" i="9" s="1"/>
  <c r="G34" i="9" a="1"/>
  <c r="G34" i="9"/>
  <c r="G35" i="9" a="1"/>
  <c r="G35" i="9" s="1"/>
  <c r="G36" i="9" a="1"/>
  <c r="G37" i="9" a="1"/>
  <c r="G37" i="9"/>
  <c r="G38" i="9" a="1"/>
  <c r="G38" i="9" s="1"/>
  <c r="G39" i="9" a="1"/>
  <c r="G39" i="9" s="1"/>
  <c r="G40" i="9" a="1"/>
  <c r="G41" i="9" a="1"/>
  <c r="G41" i="9" s="1"/>
  <c r="B43" i="9"/>
  <c r="I27" i="9" s="1"/>
  <c r="C43" i="9"/>
  <c r="J25" i="9" s="1"/>
  <c r="D43" i="9"/>
  <c r="E43" i="9"/>
  <c r="L26" i="9" s="1"/>
  <c r="F43" i="9"/>
  <c r="K25" i="9"/>
  <c r="K27" i="9"/>
  <c r="I29" i="9"/>
  <c r="K29" i="9"/>
  <c r="K31" i="9"/>
  <c r="K33" i="9"/>
  <c r="I35" i="9"/>
  <c r="K35" i="9"/>
  <c r="K37" i="9"/>
  <c r="K39" i="9"/>
  <c r="K41" i="9"/>
  <c r="C46" i="9" a="1"/>
  <c r="C46" i="9" s="1"/>
  <c r="B46" i="9" a="1"/>
  <c r="B46" i="9" s="1"/>
  <c r="D46" i="9" a="1"/>
  <c r="D46" i="9" s="1"/>
  <c r="E46" i="9" a="1"/>
  <c r="E46" i="9"/>
  <c r="F46" i="9" a="1"/>
  <c r="F46" i="9" s="1"/>
  <c r="C45" i="9" a="1"/>
  <c r="B45" i="9" a="1"/>
  <c r="B45" i="9"/>
  <c r="D45" i="9" a="1"/>
  <c r="D45" i="9"/>
  <c r="E45" i="9" a="1"/>
  <c r="E45" i="9"/>
  <c r="F45" i="9" a="1"/>
  <c r="F17" i="9"/>
  <c r="F16" i="12" s="1"/>
  <c r="E17" i="9"/>
  <c r="E16" i="12" s="1"/>
  <c r="C45" i="9"/>
  <c r="F45" i="9"/>
  <c r="A36" i="9"/>
  <c r="H36" i="9"/>
  <c r="A37" i="9"/>
  <c r="H37" i="9" s="1"/>
  <c r="A38" i="9"/>
  <c r="H38" i="9"/>
  <c r="A39" i="9"/>
  <c r="H39" i="9" s="1"/>
  <c r="A40" i="9"/>
  <c r="H40" i="9"/>
  <c r="A41" i="9"/>
  <c r="H41" i="9" s="1"/>
  <c r="G40" i="9"/>
  <c r="G36" i="9"/>
  <c r="G31" i="9"/>
  <c r="A35" i="9"/>
  <c r="H35" i="9" s="1"/>
  <c r="A30" i="9"/>
  <c r="H30" i="9"/>
  <c r="A31" i="9"/>
  <c r="H31" i="9" s="1"/>
  <c r="A32" i="9"/>
  <c r="H32" i="9"/>
  <c r="A33" i="9"/>
  <c r="H33" i="9" s="1"/>
  <c r="A34" i="9"/>
  <c r="H34" i="9"/>
  <c r="A25" i="9"/>
  <c r="H25" i="9" s="1"/>
  <c r="A26" i="9"/>
  <c r="H26" i="9"/>
  <c r="A27" i="9"/>
  <c r="H27" i="9" s="1"/>
  <c r="A28" i="9"/>
  <c r="H28" i="9"/>
  <c r="A29" i="9"/>
  <c r="H29" i="9" s="1"/>
  <c r="A24" i="9"/>
  <c r="H24" i="9"/>
  <c r="F20" i="12"/>
  <c r="E20" i="12"/>
  <c r="D20" i="12"/>
  <c r="C20" i="12"/>
  <c r="B20" i="12"/>
  <c r="F40" i="12"/>
  <c r="E40" i="12"/>
  <c r="D40" i="12"/>
  <c r="C40" i="12"/>
  <c r="B40" i="12"/>
  <c r="F39" i="12"/>
  <c r="E39" i="12"/>
  <c r="G39" i="12" s="1" a="1"/>
  <c r="D39" i="12"/>
  <c r="C39" i="12"/>
  <c r="B39" i="12"/>
  <c r="F38" i="12"/>
  <c r="E38" i="12"/>
  <c r="D38" i="12"/>
  <c r="C38" i="12"/>
  <c r="B38" i="12"/>
  <c r="B44" i="12" s="1" a="1"/>
  <c r="F37" i="12"/>
  <c r="E37" i="12"/>
  <c r="D37" i="12"/>
  <c r="C37" i="12"/>
  <c r="B37" i="12"/>
  <c r="F36" i="12"/>
  <c r="E36" i="12"/>
  <c r="D36" i="12"/>
  <c r="C36" i="12"/>
  <c r="B36" i="12"/>
  <c r="F35" i="12"/>
  <c r="E35" i="12"/>
  <c r="D35" i="12"/>
  <c r="C35" i="12"/>
  <c r="B35" i="12"/>
  <c r="F34" i="12"/>
  <c r="E34" i="12"/>
  <c r="D34" i="12"/>
  <c r="C34" i="12"/>
  <c r="B34" i="12"/>
  <c r="F33" i="12"/>
  <c r="E33" i="12"/>
  <c r="D33" i="12"/>
  <c r="G33" i="12" s="1" a="1"/>
  <c r="C33" i="12"/>
  <c r="B33" i="12"/>
  <c r="F32" i="12"/>
  <c r="E32" i="12"/>
  <c r="D32" i="12"/>
  <c r="C32" i="12"/>
  <c r="B32" i="12"/>
  <c r="G32" i="12" s="1"/>
  <c r="G32" i="12" a="1"/>
  <c r="F31" i="12"/>
  <c r="E31" i="12"/>
  <c r="D31" i="12"/>
  <c r="C31" i="12"/>
  <c r="G31" i="12" s="1" a="1"/>
  <c r="B31" i="12"/>
  <c r="F30" i="12"/>
  <c r="E30" i="12"/>
  <c r="D30" i="12"/>
  <c r="C30" i="12"/>
  <c r="B30" i="12"/>
  <c r="F29" i="12"/>
  <c r="E29" i="12"/>
  <c r="D29" i="12"/>
  <c r="C29" i="12"/>
  <c r="B29" i="12"/>
  <c r="F28" i="12"/>
  <c r="E28" i="12"/>
  <c r="D28" i="12"/>
  <c r="C28" i="12"/>
  <c r="B28" i="12"/>
  <c r="G28" i="12" s="1" a="1"/>
  <c r="G28" i="12" s="1"/>
  <c r="F27" i="12"/>
  <c r="E27" i="12"/>
  <c r="D27" i="12"/>
  <c r="C27" i="12"/>
  <c r="B27" i="12"/>
  <c r="F26" i="12"/>
  <c r="E26" i="12"/>
  <c r="D26" i="12"/>
  <c r="C26" i="12"/>
  <c r="B26" i="12"/>
  <c r="F25" i="12"/>
  <c r="E25" i="12"/>
  <c r="D25" i="12"/>
  <c r="C25" i="12"/>
  <c r="B25" i="12"/>
  <c r="G25" i="12" s="1"/>
  <c r="G25" i="12" a="1"/>
  <c r="F24" i="12"/>
  <c r="E24" i="12"/>
  <c r="D24" i="12"/>
  <c r="C24" i="12"/>
  <c r="B24" i="12"/>
  <c r="F23" i="12"/>
  <c r="E23" i="12"/>
  <c r="D23" i="12"/>
  <c r="C23" i="12"/>
  <c r="B23" i="12"/>
  <c r="B45" i="12" a="1"/>
  <c r="B14" i="12"/>
  <c r="C14" i="12"/>
  <c r="D14" i="12"/>
  <c r="E14" i="12"/>
  <c r="F14" i="12"/>
  <c r="B15" i="12"/>
  <c r="C15" i="12"/>
  <c r="D15" i="12"/>
  <c r="E15" i="12"/>
  <c r="F15" i="12"/>
  <c r="C13" i="12"/>
  <c r="D13" i="12"/>
  <c r="E13" i="12"/>
  <c r="F13" i="12"/>
  <c r="B13" i="12"/>
  <c r="B10" i="12"/>
  <c r="G27" i="12" a="1"/>
  <c r="F44" i="12" a="1"/>
  <c r="F44" i="12" s="1"/>
  <c r="A35" i="12"/>
  <c r="H35" i="12" s="1"/>
  <c r="A36" i="12"/>
  <c r="H36" i="12"/>
  <c r="A37" i="12"/>
  <c r="H37" i="12" s="1"/>
  <c r="A38" i="12"/>
  <c r="H38" i="12" s="1"/>
  <c r="A39" i="12"/>
  <c r="H39" i="12" s="1"/>
  <c r="A40" i="12"/>
  <c r="H40" i="12" s="1"/>
  <c r="A34" i="12"/>
  <c r="H34" i="12" s="1"/>
  <c r="A29" i="12"/>
  <c r="H29" i="12" s="1"/>
  <c r="A30" i="12"/>
  <c r="H30" i="12" s="1"/>
  <c r="A31" i="12"/>
  <c r="H31" i="12"/>
  <c r="A32" i="12"/>
  <c r="H32" i="12" s="1"/>
  <c r="A33" i="12"/>
  <c r="H33" i="12" s="1"/>
  <c r="A24" i="12"/>
  <c r="H24" i="12" s="1"/>
  <c r="A25" i="12"/>
  <c r="H25" i="12" s="1"/>
  <c r="A26" i="12"/>
  <c r="H26" i="12" s="1"/>
  <c r="A27" i="12"/>
  <c r="H27" i="12"/>
  <c r="A28" i="12"/>
  <c r="H28" i="12" s="1"/>
  <c r="A23" i="12"/>
  <c r="H23" i="12"/>
  <c r="E44" i="15"/>
  <c r="L33" i="15"/>
  <c r="D44" i="15"/>
  <c r="K34" i="15"/>
  <c r="K38" i="15"/>
  <c r="D43" i="15"/>
  <c r="C43" i="15"/>
  <c r="F43" i="15"/>
  <c r="G43" i="15"/>
  <c r="E43" i="15"/>
  <c r="H23" i="15" a="1"/>
  <c r="H23" i="15"/>
  <c r="H24" i="15" a="1"/>
  <c r="H24" i="15" s="1"/>
  <c r="H25" i="15" a="1"/>
  <c r="H25" i="15" s="1"/>
  <c r="H26" i="15" a="1"/>
  <c r="H26" i="15"/>
  <c r="H27" i="15" a="1"/>
  <c r="H27" i="15" s="1"/>
  <c r="H28" i="15" a="1"/>
  <c r="H29" i="15" a="1"/>
  <c r="H29" i="15"/>
  <c r="H30" i="15" a="1"/>
  <c r="H30" i="15" s="1"/>
  <c r="H31" i="15" a="1"/>
  <c r="H31" i="15"/>
  <c r="H32" i="15" a="1"/>
  <c r="H33" i="15" a="1"/>
  <c r="H33" i="15"/>
  <c r="H34" i="15" a="1"/>
  <c r="H34" i="15"/>
  <c r="H35" i="15" a="1"/>
  <c r="H35" i="15"/>
  <c r="H36" i="15" a="1"/>
  <c r="H37" i="15" a="1"/>
  <c r="H37" i="15" s="1"/>
  <c r="H38" i="15" a="1"/>
  <c r="H38" i="15"/>
  <c r="H39" i="15" a="1"/>
  <c r="H40" i="15" a="1"/>
  <c r="H40" i="15" s="1"/>
  <c r="H41" i="15" a="1"/>
  <c r="H42" i="15" a="1"/>
  <c r="H42" i="15" s="1"/>
  <c r="C44" i="15"/>
  <c r="J42" i="15"/>
  <c r="J23" i="15"/>
  <c r="J25" i="15"/>
  <c r="J27" i="15"/>
  <c r="J29" i="15"/>
  <c r="J31" i="15"/>
  <c r="J33" i="15"/>
  <c r="J35" i="15"/>
  <c r="J37" i="15"/>
  <c r="J39" i="15"/>
  <c r="J41" i="15"/>
  <c r="F44" i="15"/>
  <c r="M23" i="15"/>
  <c r="M25" i="15"/>
  <c r="M27" i="15"/>
  <c r="M29" i="15"/>
  <c r="M31" i="15"/>
  <c r="M33" i="15"/>
  <c r="M35" i="15"/>
  <c r="M37" i="15"/>
  <c r="M39" i="15"/>
  <c r="M41" i="15"/>
  <c r="G44" i="15"/>
  <c r="N24" i="15"/>
  <c r="N32" i="15"/>
  <c r="N34" i="15"/>
  <c r="N36" i="15"/>
  <c r="G16" i="15"/>
  <c r="C16" i="15"/>
  <c r="D16" i="15"/>
  <c r="F16" i="15"/>
  <c r="H36" i="15"/>
  <c r="H39" i="15"/>
  <c r="H41" i="15"/>
  <c r="H28" i="15"/>
  <c r="H32" i="15"/>
  <c r="A12" i="4"/>
  <c r="B12" i="4" s="1"/>
  <c r="K12" i="4"/>
  <c r="A13" i="4"/>
  <c r="B31" i="4"/>
  <c r="L12" i="4"/>
  <c r="B11" i="4"/>
  <c r="D7" i="4"/>
  <c r="D6" i="4"/>
  <c r="D31" i="4"/>
  <c r="E31" i="4" s="1"/>
  <c r="D30" i="4"/>
  <c r="F30" i="4" s="1"/>
  <c r="D29" i="4"/>
  <c r="E29" i="4"/>
  <c r="D28" i="4"/>
  <c r="F28" i="4" s="1"/>
  <c r="D27" i="4"/>
  <c r="E27" i="4" s="1"/>
  <c r="D26" i="4"/>
  <c r="F26" i="4" s="1"/>
  <c r="D25" i="4"/>
  <c r="E25" i="4"/>
  <c r="D24" i="4"/>
  <c r="F24" i="4" s="1"/>
  <c r="D23" i="4"/>
  <c r="E23" i="4" s="1"/>
  <c r="D22" i="4"/>
  <c r="F22" i="4" s="1"/>
  <c r="D21" i="4"/>
  <c r="E21" i="4" s="1"/>
  <c r="D20" i="4"/>
  <c r="F20" i="4" s="1"/>
  <c r="D19" i="4"/>
  <c r="D18" i="4"/>
  <c r="F18" i="4" s="1"/>
  <c r="D17" i="4"/>
  <c r="E17" i="4"/>
  <c r="D16" i="4"/>
  <c r="F16" i="4" s="1"/>
  <c r="D15" i="4"/>
  <c r="E15" i="4" s="1"/>
  <c r="D14" i="4"/>
  <c r="F14" i="4" s="1"/>
  <c r="D13" i="4"/>
  <c r="D12" i="4"/>
  <c r="F12" i="4" s="1"/>
  <c r="D11" i="4"/>
  <c r="F11" i="4"/>
  <c r="E6" i="4"/>
  <c r="E7" i="4"/>
  <c r="B23" i="5" a="1"/>
  <c r="B23" i="5" s="1"/>
  <c r="D23" i="5" a="1"/>
  <c r="J14" i="5"/>
  <c r="K14" i="5"/>
  <c r="L14" i="5"/>
  <c r="M14" i="5"/>
  <c r="I14" i="5"/>
  <c r="D23" i="5"/>
  <c r="I23" i="5" a="1"/>
  <c r="I23" i="5"/>
  <c r="K23" i="5" a="1"/>
  <c r="K23" i="5" s="1"/>
  <c r="R13" i="5"/>
  <c r="P14" i="5"/>
  <c r="P16" i="5" s="1"/>
  <c r="Q14" i="5"/>
  <c r="Q16" i="5" s="1"/>
  <c r="R16" i="5"/>
  <c r="Q15" i="5"/>
  <c r="R15" i="5"/>
  <c r="P15" i="5"/>
  <c r="Q13" i="5"/>
  <c r="P13" i="5"/>
  <c r="J25" i="3"/>
  <c r="J29" i="3"/>
  <c r="H25" i="3"/>
  <c r="H29" i="3"/>
  <c r="K25" i="3"/>
  <c r="K29" i="3" s="1"/>
  <c r="V29" i="16"/>
  <c r="B42" i="15" s="1"/>
  <c r="V11" i="16"/>
  <c r="V13" i="16"/>
  <c r="V15" i="16"/>
  <c r="V17" i="16"/>
  <c r="B30" i="15" s="1"/>
  <c r="V19" i="16"/>
  <c r="V45" i="16" s="1"/>
  <c r="V21" i="16"/>
  <c r="V23" i="16"/>
  <c r="V25" i="16"/>
  <c r="V27" i="16"/>
  <c r="AP9" i="16" s="1"/>
  <c r="AN35" i="16" s="1"/>
  <c r="A14" i="4"/>
  <c r="B14" i="4" s="1"/>
  <c r="K14" i="4"/>
  <c r="L24" i="9"/>
  <c r="L25" i="9"/>
  <c r="L27" i="9"/>
  <c r="L29" i="9"/>
  <c r="L31" i="9"/>
  <c r="L33" i="9"/>
  <c r="L35" i="9"/>
  <c r="L37" i="9"/>
  <c r="L39" i="9"/>
  <c r="L41" i="9"/>
  <c r="H55" i="3"/>
  <c r="Y16" i="16"/>
  <c r="W42" i="16"/>
  <c r="Y12" i="16"/>
  <c r="W38" i="16"/>
  <c r="AA22" i="16"/>
  <c r="Y48" i="16" s="1"/>
  <c r="AA18" i="16"/>
  <c r="Y44" i="16"/>
  <c r="AA10" i="16"/>
  <c r="Y36" i="16"/>
  <c r="AE22" i="16"/>
  <c r="AC48" i="16"/>
  <c r="AE18" i="16"/>
  <c r="AC44" i="16" s="1"/>
  <c r="AE10" i="16"/>
  <c r="AC36" i="16"/>
  <c r="AG16" i="16"/>
  <c r="AE42" i="16" s="1"/>
  <c r="AG12" i="16"/>
  <c r="AE38" i="16" s="1"/>
  <c r="AO22" i="16"/>
  <c r="AM48" i="16" s="1"/>
  <c r="AO18" i="16"/>
  <c r="AM44" i="16"/>
  <c r="AO10" i="16"/>
  <c r="AM36" i="16" s="1"/>
  <c r="K25" i="15"/>
  <c r="K27" i="15"/>
  <c r="K29" i="15"/>
  <c r="K33" i="15"/>
  <c r="K35" i="15"/>
  <c r="K37" i="15"/>
  <c r="K41" i="15"/>
  <c r="M42" i="15"/>
  <c r="M24" i="15"/>
  <c r="M26" i="15"/>
  <c r="M28" i="15"/>
  <c r="M30" i="15"/>
  <c r="M32" i="15"/>
  <c r="M34" i="15"/>
  <c r="M36" i="15"/>
  <c r="M38" i="15"/>
  <c r="M40" i="15"/>
  <c r="M24" i="9"/>
  <c r="M26" i="9"/>
  <c r="M30" i="9"/>
  <c r="M32" i="9"/>
  <c r="M34" i="9"/>
  <c r="M38" i="9"/>
  <c r="M40" i="9"/>
  <c r="K24" i="9"/>
  <c r="K26" i="9"/>
  <c r="K28" i="9"/>
  <c r="K30" i="9"/>
  <c r="K32" i="9"/>
  <c r="K34" i="9"/>
  <c r="K36" i="9"/>
  <c r="K38" i="9"/>
  <c r="K40" i="9"/>
  <c r="I26" i="9"/>
  <c r="I30" i="9"/>
  <c r="I36" i="9"/>
  <c r="A12" i="14"/>
  <c r="B11" i="14"/>
  <c r="K40" i="15"/>
  <c r="K36" i="15"/>
  <c r="K28" i="15"/>
  <c r="K24" i="15"/>
  <c r="L40" i="9"/>
  <c r="L36" i="9"/>
  <c r="L32" i="9"/>
  <c r="L28" i="9"/>
  <c r="F25" i="3"/>
  <c r="F29" i="3"/>
  <c r="D25" i="3"/>
  <c r="D29" i="3"/>
  <c r="X10" i="16"/>
  <c r="V10" i="16"/>
  <c r="Y9" i="16" s="1"/>
  <c r="W35" i="16" s="1"/>
  <c r="X12" i="16"/>
  <c r="V12" i="16"/>
  <c r="X14" i="16"/>
  <c r="V14" i="16"/>
  <c r="X16" i="16"/>
  <c r="V16" i="16"/>
  <c r="X18" i="16"/>
  <c r="V18" i="16"/>
  <c r="B31" i="15" s="1"/>
  <c r="X20" i="16"/>
  <c r="V20" i="16"/>
  <c r="X22" i="16"/>
  <c r="V22" i="16"/>
  <c r="AS22" i="16" s="1"/>
  <c r="X24" i="16"/>
  <c r="V24" i="16"/>
  <c r="AG26" i="16"/>
  <c r="AE52" i="16"/>
  <c r="Y26" i="16"/>
  <c r="W52" i="16"/>
  <c r="X26" i="16"/>
  <c r="V26" i="16"/>
  <c r="X28" i="16"/>
  <c r="V28" i="16"/>
  <c r="O39" i="10"/>
  <c r="AS25" i="16"/>
  <c r="V51" i="16"/>
  <c r="AN9" i="16"/>
  <c r="AL35" i="16" s="1"/>
  <c r="B38" i="15"/>
  <c r="I38" i="15"/>
  <c r="V47" i="16"/>
  <c r="AF9" i="16"/>
  <c r="AD35" i="16" s="1"/>
  <c r="AS17" i="16"/>
  <c r="I30" i="15"/>
  <c r="V43" i="16"/>
  <c r="B26" i="15"/>
  <c r="I26" i="15"/>
  <c r="V55" i="16"/>
  <c r="AR9" i="16"/>
  <c r="AP35" i="16"/>
  <c r="I42" i="15"/>
  <c r="AS29" i="16"/>
  <c r="V53" i="16"/>
  <c r="V49" i="16"/>
  <c r="AH9" i="16"/>
  <c r="AF35" i="16" s="1"/>
  <c r="AD9" i="16"/>
  <c r="AB35" i="16" s="1"/>
  <c r="V41" i="16"/>
  <c r="V37" i="16"/>
  <c r="AS28" i="16"/>
  <c r="AK9" i="16"/>
  <c r="AI35" i="16" s="1"/>
  <c r="V48" i="16"/>
  <c r="B35" i="15"/>
  <c r="I35" i="15" s="1"/>
  <c r="AI9" i="16"/>
  <c r="AG35" i="16" s="1"/>
  <c r="AS18" i="16"/>
  <c r="AG9" i="16"/>
  <c r="AE35" i="16" s="1"/>
  <c r="V44" i="16"/>
  <c r="I31" i="15"/>
  <c r="AC9" i="16"/>
  <c r="AA35" i="16" s="1"/>
  <c r="B27" i="15"/>
  <c r="I27" i="15"/>
  <c r="AS12" i="16"/>
  <c r="AS10" i="16"/>
  <c r="V36" i="16"/>
  <c r="B23" i="15"/>
  <c r="I23" i="15"/>
  <c r="A15" i="4"/>
  <c r="B15" i="4"/>
  <c r="L14" i="4"/>
  <c r="A16" i="4"/>
  <c r="H15" i="4"/>
  <c r="A17" i="4"/>
  <c r="K21" i="5"/>
  <c r="M21" i="5"/>
  <c r="J21" i="5"/>
  <c r="I21" i="5"/>
  <c r="L21" i="5"/>
  <c r="B17" i="4"/>
  <c r="L38" i="9"/>
  <c r="L34" i="9"/>
  <c r="L30" i="9"/>
  <c r="O29" i="3"/>
  <c r="I29" i="3"/>
  <c r="I31" i="3" s="1"/>
  <c r="E29" i="3"/>
  <c r="M56" i="3"/>
  <c r="U27" i="16"/>
  <c r="U28" i="16"/>
  <c r="H34" i="10"/>
  <c r="C10" i="14"/>
  <c r="E10" i="14"/>
  <c r="D28" i="3"/>
  <c r="M19" i="3"/>
  <c r="G19" i="3"/>
  <c r="O58" i="3"/>
  <c r="M58" i="3"/>
  <c r="M62" i="3" s="1"/>
  <c r="K58" i="3"/>
  <c r="K62" i="3"/>
  <c r="E58" i="3"/>
  <c r="E62" i="3" s="1"/>
  <c r="B57" i="3"/>
  <c r="B61" i="3"/>
  <c r="H57" i="3"/>
  <c r="H61" i="3" s="1"/>
  <c r="O61" i="3"/>
  <c r="E11" i="4"/>
  <c r="E30" i="4"/>
  <c r="E28" i="4"/>
  <c r="E24" i="4"/>
  <c r="E22" i="4"/>
  <c r="E20" i="4"/>
  <c r="E18" i="4"/>
  <c r="E16" i="4"/>
  <c r="E14" i="4"/>
  <c r="E12" i="4"/>
  <c r="F31" i="4"/>
  <c r="F29" i="4"/>
  <c r="F27" i="4"/>
  <c r="F25" i="4"/>
  <c r="F21" i="4"/>
  <c r="F17" i="4"/>
  <c r="F15" i="4"/>
  <c r="G11" i="4"/>
  <c r="G14" i="4"/>
  <c r="G12" i="4"/>
  <c r="H14" i="4"/>
  <c r="H12" i="4"/>
  <c r="K17" i="4"/>
  <c r="K15" i="4"/>
  <c r="L15" i="4"/>
  <c r="B13" i="4"/>
  <c r="L13" i="4" s="1"/>
  <c r="G13" i="4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38" i="15"/>
  <c r="L36" i="15"/>
  <c r="L32" i="15"/>
  <c r="L28" i="15"/>
  <c r="L24" i="15"/>
  <c r="F41" i="12"/>
  <c r="G26" i="12" a="1"/>
  <c r="G30" i="12" a="1"/>
  <c r="G30" i="12"/>
  <c r="G38" i="12" a="1"/>
  <c r="G38" i="12" s="1"/>
  <c r="N58" i="3"/>
  <c r="N62" i="3"/>
  <c r="L58" i="3"/>
  <c r="L62" i="3" s="1"/>
  <c r="H58" i="3"/>
  <c r="H62" i="3" s="1"/>
  <c r="F58" i="3"/>
  <c r="F62" i="3" s="1"/>
  <c r="B62" i="3"/>
  <c r="M57" i="3"/>
  <c r="M61" i="3" s="1"/>
  <c r="I57" i="3"/>
  <c r="I61" i="3"/>
  <c r="G31" i="4"/>
  <c r="B46" i="3"/>
  <c r="B48" i="3" s="1"/>
  <c r="K24" i="3"/>
  <c r="K28" i="3" s="1"/>
  <c r="K31" i="3" s="1"/>
  <c r="G24" i="3"/>
  <c r="N41" i="3"/>
  <c r="N45" i="3" s="1"/>
  <c r="O42" i="3"/>
  <c r="O46" i="3"/>
  <c r="O48" i="3" s="1"/>
  <c r="I42" i="3"/>
  <c r="I46" i="3" s="1"/>
  <c r="D45" i="12" a="1"/>
  <c r="D45" i="12" s="1"/>
  <c r="F45" i="12" a="1"/>
  <c r="F45" i="12" s="1"/>
  <c r="G27" i="12"/>
  <c r="G39" i="12"/>
  <c r="W11" i="16"/>
  <c r="W15" i="16"/>
  <c r="W19" i="16"/>
  <c r="U23" i="16"/>
  <c r="U24" i="16"/>
  <c r="W25" i="16"/>
  <c r="J35" i="10"/>
  <c r="N25" i="3"/>
  <c r="O24" i="3"/>
  <c r="O28" i="3" s="1"/>
  <c r="O31" i="3" s="1"/>
  <c r="I24" i="3"/>
  <c r="I28" i="3"/>
  <c r="E24" i="3"/>
  <c r="D41" i="3"/>
  <c r="D45" i="3" s="1"/>
  <c r="D48" i="3" s="1"/>
  <c r="D42" i="3"/>
  <c r="D46" i="3" s="1"/>
  <c r="K42" i="3"/>
  <c r="K46" i="3" s="1"/>
  <c r="K48" i="3" s="1"/>
  <c r="G42" i="3"/>
  <c r="G46" i="3"/>
  <c r="AS27" i="16"/>
  <c r="B40" i="15"/>
  <c r="I40" i="15"/>
  <c r="AS23" i="16"/>
  <c r="AL9" i="16"/>
  <c r="AJ35" i="16" s="1"/>
  <c r="B36" i="15"/>
  <c r="I36" i="15" s="1"/>
  <c r="AS19" i="16"/>
  <c r="B32" i="15"/>
  <c r="I32" i="15" s="1"/>
  <c r="AS15" i="16"/>
  <c r="B28" i="15"/>
  <c r="I28" i="15"/>
  <c r="AS11" i="16"/>
  <c r="I11" i="4"/>
  <c r="I15" i="4"/>
  <c r="I12" i="4"/>
  <c r="I14" i="4"/>
  <c r="I13" i="4"/>
  <c r="C44" i="12" a="1"/>
  <c r="J13" i="4"/>
  <c r="J15" i="4"/>
  <c r="J31" i="4"/>
  <c r="J12" i="4"/>
  <c r="J14" i="4"/>
  <c r="J11" i="4"/>
  <c r="D44" i="12" a="1"/>
  <c r="D44" i="12" s="1"/>
  <c r="H64" i="3"/>
  <c r="B24" i="3"/>
  <c r="B28" i="3" s="1"/>
  <c r="B31" i="3" s="1"/>
  <c r="B25" i="3"/>
  <c r="B29" i="3" s="1"/>
  <c r="B41" i="3"/>
  <c r="B45" i="3"/>
  <c r="L41" i="3"/>
  <c r="L45" i="3" s="1"/>
  <c r="L48" i="3" s="1"/>
  <c r="J41" i="3"/>
  <c r="J45" i="3"/>
  <c r="H41" i="3"/>
  <c r="H45" i="3" s="1"/>
  <c r="H48" i="3"/>
  <c r="F41" i="3"/>
  <c r="F45" i="3"/>
  <c r="F48" i="3" s="1"/>
  <c r="M42" i="3"/>
  <c r="M46" i="3"/>
  <c r="U29" i="16"/>
  <c r="U11" i="16"/>
  <c r="U13" i="16"/>
  <c r="AH13" i="16" s="1"/>
  <c r="U15" i="16"/>
  <c r="U17" i="16"/>
  <c r="U19" i="16"/>
  <c r="U21" i="16"/>
  <c r="U25" i="16"/>
  <c r="R46" i="10"/>
  <c r="F34" i="10"/>
  <c r="L25" i="3"/>
  <c r="L29" i="3" s="1"/>
  <c r="C24" i="3"/>
  <c r="C28" i="3"/>
  <c r="N24" i="3"/>
  <c r="N28" i="3"/>
  <c r="L24" i="3"/>
  <c r="L28" i="3" s="1"/>
  <c r="L31" i="3" s="1"/>
  <c r="J24" i="3"/>
  <c r="J28" i="3"/>
  <c r="H24" i="3"/>
  <c r="H28" i="3" s="1"/>
  <c r="H31" i="3"/>
  <c r="F24" i="3"/>
  <c r="F28" i="3"/>
  <c r="F31" i="3" s="1"/>
  <c r="C41" i="3"/>
  <c r="C45" i="3" s="1"/>
  <c r="E41" i="3"/>
  <c r="E45" i="3" s="1"/>
  <c r="E48" i="3" s="1"/>
  <c r="M25" i="3"/>
  <c r="Y27" i="16"/>
  <c r="W53" i="16"/>
  <c r="AA27" i="16"/>
  <c r="Y53" i="16" s="1"/>
  <c r="AE27" i="16"/>
  <c r="AC53" i="16" s="1"/>
  <c r="AG27" i="16"/>
  <c r="AE53" i="16" s="1"/>
  <c r="K13" i="4"/>
  <c r="H13" i="4"/>
  <c r="G41" i="3"/>
  <c r="G45" i="3"/>
  <c r="G48" i="3" s="1"/>
  <c r="G25" i="3"/>
  <c r="Y28" i="16"/>
  <c r="W54" i="16" s="1"/>
  <c r="Y24" i="16"/>
  <c r="W50" i="16" s="1"/>
  <c r="AG24" i="16"/>
  <c r="AE50" i="16"/>
  <c r="AM8" i="16"/>
  <c r="AL8" i="16"/>
  <c r="Y23" i="16"/>
  <c r="W49" i="16"/>
  <c r="AA23" i="16"/>
  <c r="Y49" i="16" s="1"/>
  <c r="AE23" i="16"/>
  <c r="AC49" i="16" s="1"/>
  <c r="AG23" i="16"/>
  <c r="AE49" i="16" s="1"/>
  <c r="AO23" i="16"/>
  <c r="AM49" i="16" s="1"/>
  <c r="AO25" i="16"/>
  <c r="AM51" i="16" s="1"/>
  <c r="AL19" i="16"/>
  <c r="AJ45" i="16"/>
  <c r="AH8" i="16"/>
  <c r="AH19" i="16" s="1"/>
  <c r="AF45" i="16"/>
  <c r="Y19" i="16"/>
  <c r="W45" i="16"/>
  <c r="AA19" i="16"/>
  <c r="Y45" i="16"/>
  <c r="AE19" i="16"/>
  <c r="AC45" i="16"/>
  <c r="AG19" i="16"/>
  <c r="AE45" i="16"/>
  <c r="AO19" i="16"/>
  <c r="AM45" i="16" s="1"/>
  <c r="AL11" i="16"/>
  <c r="AJ37" i="16"/>
  <c r="Z8" i="16"/>
  <c r="AB8" i="16"/>
  <c r="AB11" i="16"/>
  <c r="Z37" i="16" s="1"/>
  <c r="AH11" i="16"/>
  <c r="AF37" i="16" s="1"/>
  <c r="Y11" i="16"/>
  <c r="W37" i="16"/>
  <c r="AA11" i="16"/>
  <c r="Y37" i="16" s="1"/>
  <c r="AE11" i="16"/>
  <c r="AC37" i="16" s="1"/>
  <c r="AG11" i="16"/>
  <c r="AE37" i="16"/>
  <c r="AO11" i="16"/>
  <c r="AM37" i="16" s="1"/>
  <c r="AJ8" i="16"/>
  <c r="AA21" i="16"/>
  <c r="Y47" i="16" s="1"/>
  <c r="AE21" i="16"/>
  <c r="AC47" i="16"/>
  <c r="AF8" i="16"/>
  <c r="AF13" i="16"/>
  <c r="AD39" i="16" s="1"/>
  <c r="AH17" i="16"/>
  <c r="AF43" i="16"/>
  <c r="Y17" i="16"/>
  <c r="W43" i="16" s="1"/>
  <c r="AA17" i="16"/>
  <c r="Y43" i="16"/>
  <c r="AE17" i="16"/>
  <c r="AC43" i="16"/>
  <c r="AG17" i="16"/>
  <c r="AE43" i="16" s="1"/>
  <c r="AO17" i="16"/>
  <c r="AM43" i="16" s="1"/>
  <c r="AL13" i="16"/>
  <c r="AJ39" i="16" s="1"/>
  <c r="Z13" i="16"/>
  <c r="X39" i="16"/>
  <c r="AB13" i="16"/>
  <c r="Z39" i="16" s="1"/>
  <c r="AJ13" i="16"/>
  <c r="AH39" i="16" s="1"/>
  <c r="Y13" i="16"/>
  <c r="W39" i="16"/>
  <c r="AA13" i="16"/>
  <c r="Y39" i="16" s="1"/>
  <c r="AE13" i="16"/>
  <c r="AC39" i="16" s="1"/>
  <c r="AG13" i="16"/>
  <c r="AE39" i="16"/>
  <c r="AO13" i="16"/>
  <c r="AM39" i="16"/>
  <c r="AR8" i="16"/>
  <c r="AL29" i="16"/>
  <c r="AJ55" i="16"/>
  <c r="AJ29" i="16"/>
  <c r="AH55" i="16"/>
  <c r="Y29" i="16"/>
  <c r="W55" i="16"/>
  <c r="AA29" i="16"/>
  <c r="Y55" i="16"/>
  <c r="AE29" i="16"/>
  <c r="AC55" i="16"/>
  <c r="AG29" i="16"/>
  <c r="AE55" i="16"/>
  <c r="AO29" i="16"/>
  <c r="AM55" i="16"/>
  <c r="AB17" i="16"/>
  <c r="Z43" i="16" s="1"/>
  <c r="AL26" i="16"/>
  <c r="AJ52" i="16" s="1"/>
  <c r="AL16" i="16"/>
  <c r="AJ42" i="16"/>
  <c r="AL12" i="16"/>
  <c r="AJ38" i="16"/>
  <c r="AL27" i="16"/>
  <c r="AJ53" i="16" s="1"/>
  <c r="AM27" i="16"/>
  <c r="AK53" i="16" s="1"/>
  <c r="AJ17" i="16"/>
  <c r="AH43" i="16" s="1"/>
  <c r="AJ21" i="16"/>
  <c r="AH47" i="16"/>
  <c r="AL24" i="16"/>
  <c r="AJ50" i="16" s="1"/>
  <c r="AM24" i="16"/>
  <c r="AK50" i="16" s="1"/>
  <c r="AR26" i="16"/>
  <c r="AP52" i="16" s="1"/>
  <c r="AR23" i="16"/>
  <c r="AP49" i="16"/>
  <c r="AR16" i="16"/>
  <c r="AP42" i="16"/>
  <c r="AR12" i="16"/>
  <c r="AP38" i="16" s="1"/>
  <c r="AF28" i="16"/>
  <c r="AD54" i="16"/>
  <c r="AF26" i="16"/>
  <c r="AD52" i="16"/>
  <c r="AF23" i="16"/>
  <c r="AD49" i="16"/>
  <c r="AF16" i="16"/>
  <c r="AD42" i="16"/>
  <c r="AF12" i="16"/>
  <c r="AD38" i="16"/>
  <c r="Z27" i="16"/>
  <c r="X53" i="16"/>
  <c r="Z28" i="16"/>
  <c r="X54" i="16" s="1"/>
  <c r="Z24" i="16"/>
  <c r="X50" i="16"/>
  <c r="Z16" i="16"/>
  <c r="X42" i="16"/>
  <c r="Z12" i="16"/>
  <c r="X38" i="16" s="1"/>
  <c r="AH28" i="16"/>
  <c r="AF54" i="16"/>
  <c r="AH26" i="16"/>
  <c r="AF52" i="16"/>
  <c r="AH24" i="16"/>
  <c r="AF50" i="16"/>
  <c r="AH22" i="16"/>
  <c r="AF48" i="16"/>
  <c r="AH18" i="16"/>
  <c r="AF44" i="16"/>
  <c r="AH16" i="16"/>
  <c r="AF42" i="16"/>
  <c r="AH12" i="16"/>
  <c r="AF38" i="16"/>
  <c r="AH10" i="16"/>
  <c r="AF36" i="16"/>
  <c r="AH27" i="16"/>
  <c r="AF53" i="16"/>
  <c r="AH23" i="16"/>
  <c r="AF49" i="16"/>
  <c r="AB23" i="16"/>
  <c r="Z49" i="16"/>
  <c r="AB26" i="16"/>
  <c r="Z52" i="16"/>
  <c r="AB22" i="16"/>
  <c r="Z48" i="16" s="1"/>
  <c r="AB18" i="16"/>
  <c r="Z44" i="16"/>
  <c r="AB10" i="16"/>
  <c r="Z36" i="16"/>
  <c r="AJ26" i="16"/>
  <c r="AH52" i="16" s="1"/>
  <c r="AJ22" i="16"/>
  <c r="AH48" i="16"/>
  <c r="AJ18" i="16"/>
  <c r="AH44" i="16"/>
  <c r="AJ10" i="16"/>
  <c r="AH36" i="16" s="1"/>
  <c r="AJ23" i="16"/>
  <c r="AH49" i="16"/>
  <c r="AR13" i="16"/>
  <c r="AP39" i="16"/>
  <c r="AR21" i="16"/>
  <c r="AP47" i="16"/>
  <c r="AR11" i="16"/>
  <c r="AP37" i="16" s="1"/>
  <c r="AF19" i="16"/>
  <c r="AD45" i="16"/>
  <c r="AH29" i="16"/>
  <c r="AF55" i="16"/>
  <c r="Z29" i="16"/>
  <c r="X55" i="16" s="1"/>
  <c r="AR29" i="16"/>
  <c r="AP55" i="16"/>
  <c r="AF39" i="16"/>
  <c r="Z17" i="16"/>
  <c r="X43" i="16"/>
  <c r="AR17" i="16"/>
  <c r="AP43" i="16"/>
  <c r="AB21" i="16"/>
  <c r="Z47" i="16" s="1"/>
  <c r="Z11" i="16"/>
  <c r="X37" i="16"/>
  <c r="Z19" i="16"/>
  <c r="X45" i="16" s="1"/>
  <c r="I39" i="9" l="1"/>
  <c r="J29" i="9"/>
  <c r="J24" i="9"/>
  <c r="I31" i="9"/>
  <c r="G26" i="12"/>
  <c r="G33" i="12"/>
  <c r="B47" i="9"/>
  <c r="B48" i="9"/>
  <c r="J34" i="9"/>
  <c r="J28" i="9"/>
  <c r="E47" i="9"/>
  <c r="J26" i="9"/>
  <c r="F48" i="9"/>
  <c r="J39" i="9"/>
  <c r="C48" i="9"/>
  <c r="B45" i="12"/>
  <c r="B42" i="12"/>
  <c r="I23" i="12" s="1"/>
  <c r="B44" i="12"/>
  <c r="B41" i="12"/>
  <c r="E48" i="9"/>
  <c r="I34" i="9"/>
  <c r="C47" i="9"/>
  <c r="I38" i="9"/>
  <c r="I28" i="9"/>
  <c r="D48" i="9"/>
  <c r="I40" i="9"/>
  <c r="I32" i="9"/>
  <c r="I24" i="9"/>
  <c r="I37" i="9"/>
  <c r="C44" i="12"/>
  <c r="C46" i="12" s="1"/>
  <c r="G31" i="12"/>
  <c r="J36" i="9"/>
  <c r="J37" i="9"/>
  <c r="J31" i="9"/>
  <c r="J27" i="9"/>
  <c r="J35" i="9"/>
  <c r="D47" i="9"/>
  <c r="J32" i="9"/>
  <c r="J40" i="9"/>
  <c r="J30" i="9"/>
  <c r="J38" i="9"/>
  <c r="J41" i="9"/>
  <c r="J33" i="9"/>
  <c r="F47" i="9"/>
  <c r="C42" i="12"/>
  <c r="J28" i="12" s="1"/>
  <c r="K22" i="5"/>
  <c r="J22" i="5"/>
  <c r="I22" i="5"/>
  <c r="L22" i="5"/>
  <c r="M22" i="5"/>
  <c r="AP25" i="16"/>
  <c r="AN51" i="16" s="1"/>
  <c r="AN8" i="16"/>
  <c r="AN25" i="16"/>
  <c r="AL51" i="16" s="1"/>
  <c r="AG25" i="16"/>
  <c r="AE51" i="16" s="1"/>
  <c r="AM25" i="16"/>
  <c r="AK51" i="16" s="1"/>
  <c r="Z25" i="16"/>
  <c r="X51" i="16" s="1"/>
  <c r="AR25" i="16"/>
  <c r="AP51" i="16" s="1"/>
  <c r="AB25" i="16"/>
  <c r="Z51" i="16" s="1"/>
  <c r="AE25" i="16"/>
  <c r="AC51" i="16" s="1"/>
  <c r="AF25" i="16"/>
  <c r="AD51" i="16" s="1"/>
  <c r="AL25" i="16"/>
  <c r="AJ51" i="16" s="1"/>
  <c r="AH25" i="16"/>
  <c r="AF51" i="16" s="1"/>
  <c r="AD25" i="16"/>
  <c r="AB51" i="16" s="1"/>
  <c r="Y25" i="16"/>
  <c r="W51" i="16" s="1"/>
  <c r="AJ25" i="16"/>
  <c r="AH51" i="16" s="1"/>
  <c r="AA25" i="16"/>
  <c r="Y51" i="16" s="1"/>
  <c r="AP15" i="16"/>
  <c r="AN41" i="16" s="1"/>
  <c r="AD8" i="16"/>
  <c r="AJ15" i="16"/>
  <c r="AH41" i="16" s="1"/>
  <c r="AA15" i="16"/>
  <c r="Y41" i="16" s="1"/>
  <c r="AG15" i="16"/>
  <c r="AE41" i="16" s="1"/>
  <c r="Z15" i="16"/>
  <c r="X41" i="16" s="1"/>
  <c r="AH15" i="16"/>
  <c r="AF41" i="16" s="1"/>
  <c r="AF15" i="16"/>
  <c r="AD41" i="16" s="1"/>
  <c r="AL15" i="16"/>
  <c r="AJ41" i="16" s="1"/>
  <c r="AD15" i="16"/>
  <c r="AB41" i="16" s="1"/>
  <c r="AQ15" i="16"/>
  <c r="AO41" i="16" s="1"/>
  <c r="Y15" i="16"/>
  <c r="W41" i="16" s="1"/>
  <c r="AM15" i="16"/>
  <c r="AK41" i="16" s="1"/>
  <c r="AR15" i="16"/>
  <c r="AP41" i="16" s="1"/>
  <c r="AO15" i="16"/>
  <c r="AM41" i="16" s="1"/>
  <c r="AB15" i="16"/>
  <c r="Z41" i="16" s="1"/>
  <c r="AE15" i="16"/>
  <c r="AC41" i="16" s="1"/>
  <c r="AN15" i="16"/>
  <c r="AL41" i="16" s="1"/>
  <c r="T32" i="10"/>
  <c r="N35" i="10"/>
  <c r="J37" i="10"/>
  <c r="T38" i="10"/>
  <c r="R39" i="10"/>
  <c r="P40" i="10"/>
  <c r="N41" i="10"/>
  <c r="L42" i="10"/>
  <c r="J43" i="10"/>
  <c r="H44" i="10"/>
  <c r="F45" i="10"/>
  <c r="V45" i="10"/>
  <c r="T46" i="10"/>
  <c r="R47" i="10"/>
  <c r="P48" i="10"/>
  <c r="O31" i="10"/>
  <c r="R33" i="10"/>
  <c r="L36" i="10"/>
  <c r="P38" i="10"/>
  <c r="V39" i="10"/>
  <c r="F41" i="10"/>
  <c r="H42" i="10"/>
  <c r="N43" i="10"/>
  <c r="P44" i="10"/>
  <c r="R45" i="10"/>
  <c r="F47" i="10"/>
  <c r="H48" i="10"/>
  <c r="K31" i="10"/>
  <c r="P34" i="10"/>
  <c r="T36" i="10"/>
  <c r="F39" i="10"/>
  <c r="H40" i="10"/>
  <c r="J41" i="10"/>
  <c r="P42" i="10"/>
  <c r="R43" i="10"/>
  <c r="T44" i="10"/>
  <c r="H46" i="10"/>
  <c r="J47" i="10"/>
  <c r="L48" i="10"/>
  <c r="S31" i="10"/>
  <c r="F35" i="10"/>
  <c r="J39" i="10"/>
  <c r="R41" i="10"/>
  <c r="V43" i="10"/>
  <c r="L46" i="10"/>
  <c r="T48" i="10"/>
  <c r="V31" i="10"/>
  <c r="N31" i="10"/>
  <c r="F31" i="10"/>
  <c r="O48" i="10"/>
  <c r="G48" i="10"/>
  <c r="Q47" i="10"/>
  <c r="I47" i="10"/>
  <c r="S46" i="10"/>
  <c r="K46" i="10"/>
  <c r="U45" i="10"/>
  <c r="M45" i="10"/>
  <c r="E45" i="10"/>
  <c r="O44" i="10"/>
  <c r="G44" i="10"/>
  <c r="Q43" i="10"/>
  <c r="I43" i="10"/>
  <c r="S42" i="10"/>
  <c r="K42" i="10"/>
  <c r="U41" i="10"/>
  <c r="M41" i="10"/>
  <c r="E41" i="10"/>
  <c r="O40" i="10"/>
  <c r="G40" i="10"/>
  <c r="Q39" i="10"/>
  <c r="I39" i="10"/>
  <c r="S38" i="10"/>
  <c r="K38" i="10"/>
  <c r="U37" i="10"/>
  <c r="M37" i="10"/>
  <c r="E37" i="10"/>
  <c r="O36" i="10"/>
  <c r="G36" i="10"/>
  <c r="Q35" i="10"/>
  <c r="I35" i="10"/>
  <c r="S34" i="10"/>
  <c r="K34" i="10"/>
  <c r="U33" i="10"/>
  <c r="M33" i="10"/>
  <c r="E33" i="10"/>
  <c r="O32" i="10"/>
  <c r="G32" i="10"/>
  <c r="E32" i="10"/>
  <c r="N39" i="10"/>
  <c r="T42" i="10"/>
  <c r="N45" i="10"/>
  <c r="G31" i="10"/>
  <c r="V35" i="10"/>
  <c r="L40" i="10"/>
  <c r="F43" i="10"/>
  <c r="P46" i="10"/>
  <c r="E31" i="10"/>
  <c r="R37" i="10"/>
  <c r="T40" i="10"/>
  <c r="L44" i="10"/>
  <c r="N47" i="10"/>
  <c r="T31" i="10"/>
  <c r="J31" i="10"/>
  <c r="Q48" i="10"/>
  <c r="E48" i="10"/>
  <c r="M47" i="10"/>
  <c r="U46" i="10"/>
  <c r="I46" i="10"/>
  <c r="Q45" i="10"/>
  <c r="G45" i="10"/>
  <c r="M44" i="10"/>
  <c r="U43" i="10"/>
  <c r="K43" i="10"/>
  <c r="Q42" i="10"/>
  <c r="G42" i="10"/>
  <c r="O41" i="10"/>
  <c r="U40" i="10"/>
  <c r="K40" i="10"/>
  <c r="S39" i="10"/>
  <c r="G39" i="10"/>
  <c r="O38" i="10"/>
  <c r="E38" i="10"/>
  <c r="K37" i="10"/>
  <c r="S36" i="10"/>
  <c r="I36" i="10"/>
  <c r="O35" i="10"/>
  <c r="V41" i="10"/>
  <c r="L31" i="10"/>
  <c r="M48" i="10"/>
  <c r="S47" i="10"/>
  <c r="E47" i="10"/>
  <c r="G46" i="10"/>
  <c r="K45" i="10"/>
  <c r="Q44" i="10"/>
  <c r="S43" i="10"/>
  <c r="E43" i="10"/>
  <c r="I42" i="10"/>
  <c r="K41" i="10"/>
  <c r="Q40" i="10"/>
  <c r="U39" i="10"/>
  <c r="E39" i="10"/>
  <c r="I38" i="10"/>
  <c r="O37" i="10"/>
  <c r="Q36" i="10"/>
  <c r="U35" i="10"/>
  <c r="G35" i="10"/>
  <c r="O34" i="10"/>
  <c r="E34" i="10"/>
  <c r="K33" i="10"/>
  <c r="S32" i="10"/>
  <c r="I32" i="10"/>
  <c r="J33" i="10"/>
  <c r="V37" i="10"/>
  <c r="H36" i="10"/>
  <c r="L34" i="10"/>
  <c r="P32" i="10"/>
  <c r="Q31" i="10"/>
  <c r="R48" i="10"/>
  <c r="T47" i="10"/>
  <c r="V46" i="10"/>
  <c r="F46" i="10"/>
  <c r="H45" i="10"/>
  <c r="J44" i="10"/>
  <c r="L43" i="10"/>
  <c r="N42" i="10"/>
  <c r="P41" i="10"/>
  <c r="R40" i="10"/>
  <c r="T39" i="10"/>
  <c r="V38" i="10"/>
  <c r="F38" i="10"/>
  <c r="H37" i="10"/>
  <c r="J36" i="10"/>
  <c r="L35" i="10"/>
  <c r="N34" i="10"/>
  <c r="P33" i="10"/>
  <c r="R32" i="10"/>
  <c r="J45" i="10"/>
  <c r="R31" i="10"/>
  <c r="S48" i="10"/>
  <c r="O47" i="10"/>
  <c r="O46" i="10"/>
  <c r="O45" i="10"/>
  <c r="K44" i="10"/>
  <c r="M43" i="10"/>
  <c r="M42" i="10"/>
  <c r="I41" i="10"/>
  <c r="I40" i="10"/>
  <c r="K39" i="10"/>
  <c r="G38" i="10"/>
  <c r="G37" i="10"/>
  <c r="E36" i="10"/>
  <c r="E35" i="10"/>
  <c r="I34" i="10"/>
  <c r="O33" i="10"/>
  <c r="Q32" i="10"/>
  <c r="L32" i="10"/>
  <c r="L38" i="10"/>
  <c r="R35" i="10"/>
  <c r="N33" i="10"/>
  <c r="U31" i="10"/>
  <c r="N48" i="10"/>
  <c r="L47" i="10"/>
  <c r="J46" i="10"/>
  <c r="V44" i="10"/>
  <c r="T43" i="10"/>
  <c r="R42" i="10"/>
  <c r="L41" i="10"/>
  <c r="J40" i="10"/>
  <c r="H39" i="10"/>
  <c r="T37" i="10"/>
  <c r="R36" i="10"/>
  <c r="P35" i="10"/>
  <c r="J34" i="10"/>
  <c r="H33" i="10"/>
  <c r="V47" i="10"/>
  <c r="U48" i="10"/>
  <c r="K47" i="10"/>
  <c r="E46" i="10"/>
  <c r="S44" i="10"/>
  <c r="G43" i="10"/>
  <c r="S41" i="10"/>
  <c r="M40" i="10"/>
  <c r="U38" i="10"/>
  <c r="Q37" i="10"/>
  <c r="K36" i="10"/>
  <c r="U34" i="10"/>
  <c r="S33" i="10"/>
  <c r="U32" i="10"/>
  <c r="N37" i="10"/>
  <c r="T34" i="10"/>
  <c r="I31" i="10"/>
  <c r="P47" i="10"/>
  <c r="T45" i="10"/>
  <c r="N44" i="10"/>
  <c r="V42" i="10"/>
  <c r="H41" i="10"/>
  <c r="P39" i="10"/>
  <c r="J38" i="10"/>
  <c r="N36" i="10"/>
  <c r="V34" i="10"/>
  <c r="L33" i="10"/>
  <c r="F32" i="10"/>
  <c r="K48" i="10"/>
  <c r="G47" i="10"/>
  <c r="S45" i="10"/>
  <c r="I44" i="10"/>
  <c r="U42" i="10"/>
  <c r="Q41" i="10"/>
  <c r="E40" i="10"/>
  <c r="Q38" i="10"/>
  <c r="I37" i="10"/>
  <c r="S35" i="10"/>
  <c r="Q34" i="10"/>
  <c r="Q33" i="10"/>
  <c r="M32" i="10"/>
  <c r="F37" i="10"/>
  <c r="V33" i="10"/>
  <c r="V48" i="10"/>
  <c r="H47" i="10"/>
  <c r="P45" i="10"/>
  <c r="F44" i="10"/>
  <c r="J42" i="10"/>
  <c r="V40" i="10"/>
  <c r="L39" i="10"/>
  <c r="P37" i="10"/>
  <c r="F36" i="10"/>
  <c r="R34" i="10"/>
  <c r="V32" i="10"/>
  <c r="H38" i="10"/>
  <c r="U47" i="10"/>
  <c r="U44" i="10"/>
  <c r="E42" i="10"/>
  <c r="M39" i="10"/>
  <c r="M36" i="10"/>
  <c r="G34" i="10"/>
  <c r="F33" i="10"/>
  <c r="M31" i="10"/>
  <c r="N46" i="10"/>
  <c r="H43" i="10"/>
  <c r="F40" i="10"/>
  <c r="V36" i="10"/>
  <c r="T33" i="10"/>
  <c r="P31" i="10"/>
  <c r="Q46" i="10"/>
  <c r="E44" i="10"/>
  <c r="G41" i="10"/>
  <c r="M38" i="10"/>
  <c r="M35" i="10"/>
  <c r="I33" i="10"/>
  <c r="H32" i="10"/>
  <c r="J48" i="10"/>
  <c r="L45" i="10"/>
  <c r="F42" i="10"/>
  <c r="R38" i="10"/>
  <c r="T35" i="10"/>
  <c r="N32" i="10"/>
  <c r="H31" i="10"/>
  <c r="M46" i="10"/>
  <c r="O43" i="10"/>
  <c r="S40" i="10"/>
  <c r="S37" i="10"/>
  <c r="K35" i="10"/>
  <c r="G33" i="10"/>
  <c r="P36" i="10"/>
  <c r="F48" i="10"/>
  <c r="R44" i="10"/>
  <c r="T41" i="10"/>
  <c r="N38" i="10"/>
  <c r="H35" i="10"/>
  <c r="J32" i="10"/>
  <c r="I48" i="10"/>
  <c r="U36" i="10"/>
  <c r="P43" i="10"/>
  <c r="I45" i="10"/>
  <c r="K32" i="10"/>
  <c r="N40" i="10"/>
  <c r="O42" i="10"/>
  <c r="M29" i="3"/>
  <c r="B37" i="3"/>
  <c r="L37" i="10"/>
  <c r="M34" i="10"/>
  <c r="D22" i="5"/>
  <c r="E22" i="5"/>
  <c r="F22" i="5"/>
  <c r="B22" i="5"/>
  <c r="C22" i="5"/>
  <c r="AM19" i="16"/>
  <c r="AK45" i="16" s="1"/>
  <c r="AM23" i="16"/>
  <c r="AK49" i="16" s="1"/>
  <c r="AM18" i="16"/>
  <c r="AK44" i="16" s="1"/>
  <c r="AM10" i="16"/>
  <c r="AK36" i="16" s="1"/>
  <c r="AM12" i="16"/>
  <c r="AK38" i="16" s="1"/>
  <c r="AM29" i="16"/>
  <c r="AK55" i="16" s="1"/>
  <c r="AM17" i="16"/>
  <c r="AK43" i="16" s="1"/>
  <c r="AM11" i="16"/>
  <c r="AK37" i="16" s="1"/>
  <c r="AM26" i="16"/>
  <c r="AK52" i="16" s="1"/>
  <c r="AM13" i="16"/>
  <c r="AK39" i="16" s="1"/>
  <c r="AM21" i="16"/>
  <c r="AK47" i="16" s="1"/>
  <c r="AM22" i="16"/>
  <c r="AK48" i="16" s="1"/>
  <c r="AM16" i="16"/>
  <c r="AK42" i="16" s="1"/>
  <c r="E21" i="5"/>
  <c r="C21" i="5"/>
  <c r="C40" i="5" s="1"/>
  <c r="B21" i="5"/>
  <c r="B40" i="5" s="1"/>
  <c r="D21" i="5"/>
  <c r="D40" i="5" s="1"/>
  <c r="F21" i="5"/>
  <c r="D9" i="18"/>
  <c r="E9" i="18"/>
  <c r="E21" i="18"/>
  <c r="E25" i="18"/>
  <c r="G4" i="18"/>
  <c r="E17" i="18" s="1"/>
  <c r="E12" i="18"/>
  <c r="E16" i="18"/>
  <c r="E20" i="18"/>
  <c r="E28" i="18"/>
  <c r="E11" i="18"/>
  <c r="E15" i="18"/>
  <c r="E19" i="18"/>
  <c r="E23" i="18"/>
  <c r="E27" i="18"/>
  <c r="E14" i="18"/>
  <c r="E22" i="18"/>
  <c r="D18" i="18"/>
  <c r="E26" i="18"/>
  <c r="D10" i="18"/>
  <c r="E18" i="18"/>
  <c r="E10" i="18"/>
  <c r="D22" i="18"/>
  <c r="D14" i="18"/>
  <c r="D26" i="18"/>
  <c r="B64" i="3"/>
  <c r="AO28" i="16"/>
  <c r="AM54" i="16" s="1"/>
  <c r="AQ28" i="16"/>
  <c r="AO54" i="16" s="1"/>
  <c r="AL28" i="16"/>
  <c r="AJ54" i="16" s="1"/>
  <c r="AM28" i="16"/>
  <c r="AK54" i="16" s="1"/>
  <c r="AB28" i="16"/>
  <c r="Z54" i="16" s="1"/>
  <c r="AJ28" i="16"/>
  <c r="AH54" i="16" s="1"/>
  <c r="AE28" i="16"/>
  <c r="AC54" i="16" s="1"/>
  <c r="AA28" i="16"/>
  <c r="Y54" i="16" s="1"/>
  <c r="AG28" i="16"/>
  <c r="AE54" i="16" s="1"/>
  <c r="K40" i="5"/>
  <c r="AO9" i="16"/>
  <c r="AM35" i="16" s="1"/>
  <c r="B39" i="15"/>
  <c r="I39" i="15" s="1"/>
  <c r="AS26" i="16"/>
  <c r="E19" i="4"/>
  <c r="F19" i="4"/>
  <c r="O38" i="15"/>
  <c r="O35" i="15"/>
  <c r="E44" i="12" a="1"/>
  <c r="E44" i="12" s="1"/>
  <c r="E42" i="12"/>
  <c r="E41" i="12"/>
  <c r="E45" i="12" a="1"/>
  <c r="E45" i="12" s="1"/>
  <c r="AD28" i="16"/>
  <c r="AB54" i="16" s="1"/>
  <c r="P48" i="3"/>
  <c r="F23" i="4"/>
  <c r="E26" i="4"/>
  <c r="V52" i="16"/>
  <c r="V50" i="16"/>
  <c r="B37" i="15"/>
  <c r="I37" i="15" s="1"/>
  <c r="AM9" i="16"/>
  <c r="AK35" i="16" s="1"/>
  <c r="AS24" i="16"/>
  <c r="AS20" i="16"/>
  <c r="B33" i="15"/>
  <c r="I33" i="15" s="1"/>
  <c r="V46" i="16"/>
  <c r="AS16" i="16"/>
  <c r="B29" i="15"/>
  <c r="I29" i="15" s="1"/>
  <c r="V42" i="16"/>
  <c r="AE9" i="16"/>
  <c r="AC35" i="16" s="1"/>
  <c r="V38" i="16"/>
  <c r="B25" i="15"/>
  <c r="I25" i="15" s="1"/>
  <c r="AA9" i="16"/>
  <c r="Y35" i="16" s="1"/>
  <c r="R32" i="9"/>
  <c r="R40" i="9"/>
  <c r="B12" i="14"/>
  <c r="A13" i="14"/>
  <c r="Q36" i="9"/>
  <c r="K42" i="9" a="1"/>
  <c r="K42" i="9" s="1"/>
  <c r="R37" i="9"/>
  <c r="L42" i="9" a="1"/>
  <c r="L42" i="9" s="1"/>
  <c r="E13" i="4"/>
  <c r="F13" i="4"/>
  <c r="AR28" i="16"/>
  <c r="AP54" i="16" s="1"/>
  <c r="AR22" i="16"/>
  <c r="AP48" i="16" s="1"/>
  <c r="AR18" i="16"/>
  <c r="AP44" i="16" s="1"/>
  <c r="AR10" i="16"/>
  <c r="AP36" i="16" s="1"/>
  <c r="AR19" i="16"/>
  <c r="AP45" i="16" s="1"/>
  <c r="AF22" i="16"/>
  <c r="AD48" i="16" s="1"/>
  <c r="AF18" i="16"/>
  <c r="AD44" i="16" s="1"/>
  <c r="AF10" i="16"/>
  <c r="AD36" i="16" s="1"/>
  <c r="AF11" i="16"/>
  <c r="AD37" i="16" s="1"/>
  <c r="AF29" i="16"/>
  <c r="AD55" i="16" s="1"/>
  <c r="AF17" i="16"/>
  <c r="AD43" i="16" s="1"/>
  <c r="Z23" i="16"/>
  <c r="X49" i="16" s="1"/>
  <c r="Z26" i="16"/>
  <c r="X52" i="16" s="1"/>
  <c r="Z22" i="16"/>
  <c r="X48" i="16" s="1"/>
  <c r="Z18" i="16"/>
  <c r="X44" i="16" s="1"/>
  <c r="Z10" i="16"/>
  <c r="X36" i="16" s="1"/>
  <c r="AQ8" i="16"/>
  <c r="AA24" i="16"/>
  <c r="Y50" i="16" s="1"/>
  <c r="AE24" i="16"/>
  <c r="AC50" i="16" s="1"/>
  <c r="AO24" i="16"/>
  <c r="AM50" i="16" s="1"/>
  <c r="AR24" i="16"/>
  <c r="AP50" i="16" s="1"/>
  <c r="AF24" i="16"/>
  <c r="AD50" i="16" s="1"/>
  <c r="AB24" i="16"/>
  <c r="Z50" i="16" s="1"/>
  <c r="AJ24" i="16"/>
  <c r="AH50" i="16" s="1"/>
  <c r="AD24" i="16"/>
  <c r="AB50" i="16" s="1"/>
  <c r="J17" i="4"/>
  <c r="H17" i="4"/>
  <c r="L17" i="4"/>
  <c r="G17" i="4"/>
  <c r="M17" i="4" s="1"/>
  <c r="O17" i="4" s="1"/>
  <c r="I17" i="4"/>
  <c r="A18" i="4"/>
  <c r="AJ16" i="16"/>
  <c r="AH42" i="16" s="1"/>
  <c r="AJ12" i="16"/>
  <c r="AH38" i="16" s="1"/>
  <c r="AJ11" i="16"/>
  <c r="AH37" i="16" s="1"/>
  <c r="AJ19" i="16"/>
  <c r="AH45" i="16" s="1"/>
  <c r="J31" i="3"/>
  <c r="Z21" i="16"/>
  <c r="X47" i="16" s="1"/>
  <c r="Y21" i="16"/>
  <c r="W47" i="16" s="1"/>
  <c r="AG21" i="16"/>
  <c r="AE47" i="16" s="1"/>
  <c r="AO21" i="16"/>
  <c r="AM47" i="16" s="1"/>
  <c r="AL21" i="16"/>
  <c r="AJ47" i="16" s="1"/>
  <c r="AN21" i="16"/>
  <c r="AL47" i="16" s="1"/>
  <c r="AF21" i="16"/>
  <c r="AD47" i="16" s="1"/>
  <c r="AH21" i="16"/>
  <c r="AF47" i="16" s="1"/>
  <c r="M13" i="4"/>
  <c r="O13" i="4" s="1"/>
  <c r="AP8" i="16"/>
  <c r="AO27" i="16"/>
  <c r="AM53" i="16" s="1"/>
  <c r="AR27" i="16"/>
  <c r="AP53" i="16" s="1"/>
  <c r="AF27" i="16"/>
  <c r="AD53" i="16" s="1"/>
  <c r="AB27" i="16"/>
  <c r="Z53" i="16" s="1"/>
  <c r="AJ27" i="16"/>
  <c r="AH53" i="16" s="1"/>
  <c r="AD27" i="16"/>
  <c r="AB53" i="16" s="1"/>
  <c r="AN27" i="16"/>
  <c r="AL53" i="16" s="1"/>
  <c r="V54" i="16"/>
  <c r="B41" i="15"/>
  <c r="I41" i="15" s="1"/>
  <c r="AQ9" i="16"/>
  <c r="AO35" i="16" s="1"/>
  <c r="G46" i="15" a="1"/>
  <c r="G46" i="15" s="1"/>
  <c r="D46" i="15" a="1"/>
  <c r="D46" i="15" s="1"/>
  <c r="D58" i="3"/>
  <c r="I58" i="3"/>
  <c r="I62" i="3" s="1"/>
  <c r="I64" i="3" s="1"/>
  <c r="C58" i="3"/>
  <c r="C62" i="3" s="1"/>
  <c r="J58" i="3"/>
  <c r="J62" i="3" s="1"/>
  <c r="AS21" i="16"/>
  <c r="B34" i="15"/>
  <c r="I34" i="15" s="1"/>
  <c r="AJ9" i="16"/>
  <c r="AH35" i="16" s="1"/>
  <c r="AS13" i="16"/>
  <c r="V39" i="16"/>
  <c r="AB9" i="16"/>
  <c r="Z35" i="16" s="1"/>
  <c r="O39" i="15"/>
  <c r="O29" i="15"/>
  <c r="O26" i="15"/>
  <c r="L42" i="15"/>
  <c r="L29" i="15"/>
  <c r="L37" i="15"/>
  <c r="L25" i="15"/>
  <c r="L35" i="15"/>
  <c r="L27" i="15"/>
  <c r="L41" i="15"/>
  <c r="L31" i="15"/>
  <c r="L23" i="15"/>
  <c r="L34" i="15"/>
  <c r="L26" i="15"/>
  <c r="L39" i="15"/>
  <c r="L40" i="15"/>
  <c r="L30" i="15"/>
  <c r="I40" i="12"/>
  <c r="AB19" i="16"/>
  <c r="Z45" i="16" s="1"/>
  <c r="AB29" i="16"/>
  <c r="Z55" i="16" s="1"/>
  <c r="AB16" i="16"/>
  <c r="Z42" i="16" s="1"/>
  <c r="AB12" i="16"/>
  <c r="Z38" i="16" s="1"/>
  <c r="AL22" i="16"/>
  <c r="AJ48" i="16" s="1"/>
  <c r="AL18" i="16"/>
  <c r="AJ44" i="16" s="1"/>
  <c r="AL23" i="16"/>
  <c r="AJ49" i="16" s="1"/>
  <c r="AL10" i="16"/>
  <c r="AJ36" i="16" s="1"/>
  <c r="M64" i="3"/>
  <c r="M41" i="3"/>
  <c r="M45" i="3" s="1"/>
  <c r="M48" i="3" s="1"/>
  <c r="M24" i="3"/>
  <c r="I40" i="5"/>
  <c r="B16" i="4"/>
  <c r="G16" i="4"/>
  <c r="G15" i="4"/>
  <c r="M15" i="4" s="1"/>
  <c r="O15" i="4" s="1"/>
  <c r="Q38" i="9"/>
  <c r="Q30" i="9"/>
  <c r="J42" i="9" a="1"/>
  <c r="F6" i="4"/>
  <c r="F7" i="4"/>
  <c r="H31" i="4"/>
  <c r="L31" i="4"/>
  <c r="K31" i="4"/>
  <c r="I31" i="4"/>
  <c r="G36" i="12" a="1"/>
  <c r="G36" i="12" s="1"/>
  <c r="K36" i="12"/>
  <c r="D41" i="12"/>
  <c r="J32" i="12"/>
  <c r="K40" i="12"/>
  <c r="N29" i="3"/>
  <c r="N31" i="3" s="1"/>
  <c r="E28" i="3"/>
  <c r="E31" i="3" s="1"/>
  <c r="O62" i="3"/>
  <c r="O64" i="3" s="1"/>
  <c r="D62" i="3"/>
  <c r="E57" i="3"/>
  <c r="E61" i="3" s="1"/>
  <c r="E64" i="3" s="1"/>
  <c r="N57" i="3"/>
  <c r="N61" i="3" s="1"/>
  <c r="N64" i="3" s="1"/>
  <c r="J57" i="3"/>
  <c r="J61" i="3" s="1"/>
  <c r="J64" i="3" s="1"/>
  <c r="D57" i="3"/>
  <c r="D61" i="3" s="1"/>
  <c r="D64" i="3" s="1"/>
  <c r="C57" i="3"/>
  <c r="C61" i="3" s="1"/>
  <c r="K57" i="3"/>
  <c r="K61" i="3" s="1"/>
  <c r="K64" i="3" s="1"/>
  <c r="G57" i="3"/>
  <c r="L57" i="3"/>
  <c r="L61" i="3" s="1"/>
  <c r="L64" i="3" s="1"/>
  <c r="F57" i="3"/>
  <c r="F61" i="3" s="1"/>
  <c r="F64" i="3" s="1"/>
  <c r="AL17" i="16"/>
  <c r="AJ43" i="16" s="1"/>
  <c r="D31" i="3"/>
  <c r="M40" i="5"/>
  <c r="V40" i="16"/>
  <c r="AS14" i="16"/>
  <c r="C11" i="14"/>
  <c r="E11" i="14" s="1"/>
  <c r="G11" i="14" s="1"/>
  <c r="D11" i="14"/>
  <c r="F11" i="14" s="1"/>
  <c r="R41" i="9"/>
  <c r="Z9" i="16"/>
  <c r="X35" i="16" s="1"/>
  <c r="B24" i="15"/>
  <c r="I24" i="15" s="1"/>
  <c r="L11" i="4"/>
  <c r="K11" i="4"/>
  <c r="H11" i="4"/>
  <c r="G24" i="12" a="1"/>
  <c r="G24" i="12" s="1"/>
  <c r="C45" i="12" a="1"/>
  <c r="C45" i="12" s="1"/>
  <c r="C41" i="12"/>
  <c r="D42" i="12"/>
  <c r="F42" i="12"/>
  <c r="G34" i="12" a="1"/>
  <c r="G34" i="12" s="1"/>
  <c r="G35" i="12" a="1"/>
  <c r="G35" i="12" s="1"/>
  <c r="N23" i="15"/>
  <c r="N30" i="15"/>
  <c r="N38" i="15"/>
  <c r="N28" i="15"/>
  <c r="N40" i="15"/>
  <c r="N26" i="15"/>
  <c r="N42" i="15"/>
  <c r="O31" i="15"/>
  <c r="G23" i="12" a="1"/>
  <c r="G23" i="12" s="1"/>
  <c r="K26" i="15"/>
  <c r="K42" i="15"/>
  <c r="K30" i="15"/>
  <c r="K23" i="15"/>
  <c r="K31" i="15"/>
  <c r="K39" i="15"/>
  <c r="K32" i="15"/>
  <c r="G29" i="12" a="1"/>
  <c r="G29" i="12" s="1"/>
  <c r="M29" i="9"/>
  <c r="M37" i="9"/>
  <c r="M25" i="9"/>
  <c r="M31" i="9"/>
  <c r="M41" i="9"/>
  <c r="M35" i="9"/>
  <c r="M33" i="9"/>
  <c r="M28" i="9"/>
  <c r="M36" i="9"/>
  <c r="G42" i="9"/>
  <c r="N39" i="9" s="1"/>
  <c r="W13" i="16"/>
  <c r="C47" i="15" s="1" a="1"/>
  <c r="C47" i="15" s="1"/>
  <c r="X13" i="16"/>
  <c r="W20" i="16"/>
  <c r="U20" i="16"/>
  <c r="AK8" i="16"/>
  <c r="Y22" i="16"/>
  <c r="W48" i="16" s="1"/>
  <c r="AG22" i="16"/>
  <c r="AE48" i="16" s="1"/>
  <c r="D17" i="18"/>
  <c r="D8" i="18"/>
  <c r="O27" i="15"/>
  <c r="M39" i="9"/>
  <c r="M27" i="9"/>
  <c r="X29" i="16"/>
  <c r="W29" i="16"/>
  <c r="W17" i="16"/>
  <c r="Y18" i="16"/>
  <c r="W44" i="16" s="1"/>
  <c r="Y10" i="16"/>
  <c r="W36" i="16" s="1"/>
  <c r="AE16" i="16"/>
  <c r="AC42" i="16" s="1"/>
  <c r="AG18" i="16"/>
  <c r="AE44" i="16" s="1"/>
  <c r="AG10" i="16"/>
  <c r="AE36" i="16" s="1"/>
  <c r="AO16" i="16"/>
  <c r="AM42" i="16" s="1"/>
  <c r="AO26" i="16"/>
  <c r="AM52" i="16" s="1"/>
  <c r="AE26" i="16"/>
  <c r="AC52" i="16" s="1"/>
  <c r="N46" i="3"/>
  <c r="N48" i="3" s="1"/>
  <c r="I45" i="3"/>
  <c r="I48" i="3" s="1"/>
  <c r="D25" i="18"/>
  <c r="D16" i="18"/>
  <c r="D13" i="18"/>
  <c r="G37" i="12" a="1"/>
  <c r="G37" i="12" s="1"/>
  <c r="AA16" i="16"/>
  <c r="Y42" i="16" s="1"/>
  <c r="AA26" i="16"/>
  <c r="Y52" i="16" s="1"/>
  <c r="AA12" i="16"/>
  <c r="Y38" i="16" s="1"/>
  <c r="AE12" i="16"/>
  <c r="AC38" i="16" s="1"/>
  <c r="AO12" i="16"/>
  <c r="AM38" i="16" s="1"/>
  <c r="D24" i="18"/>
  <c r="D21" i="18"/>
  <c r="H43" i="15"/>
  <c r="G40" i="12" a="1"/>
  <c r="G40" i="12" s="1"/>
  <c r="D10" i="14"/>
  <c r="F10" i="14"/>
  <c r="W23" i="16"/>
  <c r="X23" i="16"/>
  <c r="D28" i="18"/>
  <c r="D20" i="18"/>
  <c r="D12" i="18"/>
  <c r="G56" i="3"/>
  <c r="G23" i="3"/>
  <c r="U14" i="16"/>
  <c r="W16" i="16"/>
  <c r="D11" i="18"/>
  <c r="D15" i="18"/>
  <c r="D19" i="18"/>
  <c r="D23" i="18"/>
  <c r="D27" i="18"/>
  <c r="I25" i="9"/>
  <c r="I33" i="9"/>
  <c r="I41" i="9"/>
  <c r="C42" i="3"/>
  <c r="C46" i="3" s="1"/>
  <c r="C48" i="3" s="1"/>
  <c r="C25" i="3"/>
  <c r="C29" i="3" s="1"/>
  <c r="C31" i="3" s="1"/>
  <c r="L15" i="17"/>
  <c r="N14" i="17"/>
  <c r="J14" i="17"/>
  <c r="L13" i="17"/>
  <c r="N12" i="17"/>
  <c r="J12" i="17"/>
  <c r="J18" i="17" s="1" a="1"/>
  <c r="E49" i="9" l="1"/>
  <c r="B49" i="9"/>
  <c r="C49" i="9"/>
  <c r="I31" i="12"/>
  <c r="I34" i="12"/>
  <c r="I35" i="12"/>
  <c r="I30" i="12"/>
  <c r="I28" i="12"/>
  <c r="I38" i="12"/>
  <c r="I32" i="12"/>
  <c r="C47" i="12"/>
  <c r="C48" i="12" s="1"/>
  <c r="I24" i="12"/>
  <c r="I37" i="12"/>
  <c r="F49" i="9"/>
  <c r="J31" i="12"/>
  <c r="B46" i="12"/>
  <c r="J26" i="12"/>
  <c r="J41" i="12" s="1" a="1"/>
  <c r="J27" i="12"/>
  <c r="J39" i="12"/>
  <c r="I27" i="12"/>
  <c r="I26" i="12"/>
  <c r="I39" i="12"/>
  <c r="I25" i="12"/>
  <c r="I29" i="12"/>
  <c r="I33" i="12"/>
  <c r="I36" i="12"/>
  <c r="E46" i="12"/>
  <c r="D49" i="9"/>
  <c r="J42" i="9"/>
  <c r="P35" i="9" s="1"/>
  <c r="J34" i="12"/>
  <c r="J25" i="12"/>
  <c r="N26" i="9"/>
  <c r="J38" i="12"/>
  <c r="J37" i="12"/>
  <c r="J23" i="12"/>
  <c r="J36" i="12"/>
  <c r="J33" i="12"/>
  <c r="J40" i="12"/>
  <c r="J30" i="12"/>
  <c r="J29" i="12"/>
  <c r="J35" i="12"/>
  <c r="J24" i="12"/>
  <c r="K18" i="17"/>
  <c r="M18" i="17"/>
  <c r="J19" i="17"/>
  <c r="M21" i="17"/>
  <c r="J22" i="17"/>
  <c r="N22" i="17"/>
  <c r="K19" i="17"/>
  <c r="M19" i="17"/>
  <c r="J20" i="17"/>
  <c r="M20" i="17"/>
  <c r="J21" i="17"/>
  <c r="K22" i="17"/>
  <c r="L19" i="17"/>
  <c r="K20" i="17"/>
  <c r="N20" i="17"/>
  <c r="N21" i="17"/>
  <c r="N18" i="17"/>
  <c r="L20" i="17"/>
  <c r="K21" i="17"/>
  <c r="L18" i="17"/>
  <c r="N19" i="17"/>
  <c r="L22" i="17"/>
  <c r="J18" i="17"/>
  <c r="M22" i="17"/>
  <c r="L21" i="17"/>
  <c r="AK18" i="16"/>
  <c r="AI44" i="16" s="1"/>
  <c r="AK10" i="16"/>
  <c r="AI36" i="16" s="1"/>
  <c r="AK16" i="16"/>
  <c r="AI42" i="16" s="1"/>
  <c r="AK26" i="16"/>
  <c r="AI52" i="16" s="1"/>
  <c r="AK19" i="16"/>
  <c r="AI45" i="16" s="1"/>
  <c r="AK29" i="16"/>
  <c r="AI55" i="16" s="1"/>
  <c r="AK12" i="16"/>
  <c r="AI38" i="16" s="1"/>
  <c r="AK17" i="16"/>
  <c r="AI43" i="16" s="1"/>
  <c r="AK23" i="16"/>
  <c r="AI49" i="16" s="1"/>
  <c r="AK11" i="16"/>
  <c r="AI37" i="16" s="1"/>
  <c r="AK13" i="16"/>
  <c r="AI39" i="16" s="1"/>
  <c r="AK27" i="16"/>
  <c r="AI53" i="16" s="1"/>
  <c r="N31" i="4"/>
  <c r="P31" i="4" s="1"/>
  <c r="N13" i="4"/>
  <c r="P13" i="4" s="1"/>
  <c r="I41" i="12" a="1"/>
  <c r="F47" i="15" a="1"/>
  <c r="F47" i="15" s="1"/>
  <c r="C12" i="14"/>
  <c r="E12" i="14" s="1"/>
  <c r="N12" i="4"/>
  <c r="P12" i="4" s="1"/>
  <c r="L36" i="12"/>
  <c r="L27" i="12"/>
  <c r="L34" i="12"/>
  <c r="L40" i="12"/>
  <c r="L26" i="12"/>
  <c r="L33" i="12"/>
  <c r="L24" i="12"/>
  <c r="L37" i="12"/>
  <c r="L25" i="12"/>
  <c r="L28" i="12"/>
  <c r="L39" i="12"/>
  <c r="L31" i="12"/>
  <c r="L32" i="12"/>
  <c r="L35" i="12"/>
  <c r="L29" i="12"/>
  <c r="L30" i="12"/>
  <c r="L38" i="12"/>
  <c r="G29" i="3"/>
  <c r="G28" i="3"/>
  <c r="N30" i="9"/>
  <c r="N36" i="9"/>
  <c r="N37" i="9"/>
  <c r="N24" i="9"/>
  <c r="N35" i="9"/>
  <c r="N40" i="9"/>
  <c r="N38" i="9"/>
  <c r="N27" i="9"/>
  <c r="N34" i="9"/>
  <c r="N25" i="9"/>
  <c r="N32" i="9"/>
  <c r="N41" i="9"/>
  <c r="N31" i="9"/>
  <c r="Q31" i="15"/>
  <c r="M31" i="4"/>
  <c r="O31" i="4" s="1"/>
  <c r="L16" i="4"/>
  <c r="H16" i="4"/>
  <c r="J16" i="4"/>
  <c r="R27" i="15"/>
  <c r="R29" i="15"/>
  <c r="E47" i="12"/>
  <c r="O23" i="15"/>
  <c r="O25" i="15"/>
  <c r="O32" i="15"/>
  <c r="O24" i="15"/>
  <c r="O34" i="15"/>
  <c r="O28" i="15"/>
  <c r="S27" i="9"/>
  <c r="F46" i="15" a="1"/>
  <c r="F46" i="15" s="1"/>
  <c r="N33" i="9"/>
  <c r="M42" i="9" a="1"/>
  <c r="M42" i="9" s="1"/>
  <c r="S25" i="9"/>
  <c r="T40" i="15"/>
  <c r="N43" i="15" a="1"/>
  <c r="N43" i="15" s="1"/>
  <c r="G41" i="12"/>
  <c r="N35" i="12" s="1"/>
  <c r="O41" i="15"/>
  <c r="N14" i="4"/>
  <c r="P14" i="4" s="1"/>
  <c r="N29" i="9"/>
  <c r="O36" i="15"/>
  <c r="K16" i="4"/>
  <c r="M16" i="4" s="1"/>
  <c r="O16" i="4" s="1"/>
  <c r="R39" i="15"/>
  <c r="R31" i="15"/>
  <c r="O40" i="15"/>
  <c r="E46" i="15" a="1"/>
  <c r="E46" i="15" s="1"/>
  <c r="E48" i="15" s="1"/>
  <c r="N15" i="4"/>
  <c r="P15" i="4" s="1"/>
  <c r="N17" i="4"/>
  <c r="P17" i="4" s="1"/>
  <c r="F47" i="12"/>
  <c r="AQ29" i="16"/>
  <c r="AO55" i="16" s="1"/>
  <c r="AQ18" i="16"/>
  <c r="AO44" i="16" s="1"/>
  <c r="AQ16" i="16"/>
  <c r="AO42" i="16" s="1"/>
  <c r="AQ23" i="16"/>
  <c r="AO49" i="16" s="1"/>
  <c r="AQ21" i="16"/>
  <c r="AO47" i="16" s="1"/>
  <c r="AQ17" i="16"/>
  <c r="AO43" i="16" s="1"/>
  <c r="AQ13" i="16"/>
  <c r="AO39" i="16" s="1"/>
  <c r="AQ22" i="16"/>
  <c r="AO48" i="16" s="1"/>
  <c r="AQ26" i="16"/>
  <c r="AO52" i="16" s="1"/>
  <c r="AQ27" i="16"/>
  <c r="AO53" i="16" s="1"/>
  <c r="AQ24" i="16"/>
  <c r="AO50" i="16" s="1"/>
  <c r="AQ11" i="16"/>
  <c r="AO37" i="16" s="1"/>
  <c r="AQ10" i="16"/>
  <c r="AO36" i="16" s="1"/>
  <c r="AQ19" i="16"/>
  <c r="AO45" i="16" s="1"/>
  <c r="AQ12" i="16"/>
  <c r="AO38" i="16" s="1"/>
  <c r="R26" i="9"/>
  <c r="R27" i="9"/>
  <c r="R36" i="9"/>
  <c r="R28" i="9"/>
  <c r="R33" i="9"/>
  <c r="R25" i="9"/>
  <c r="R39" i="9"/>
  <c r="R38" i="9"/>
  <c r="R30" i="9"/>
  <c r="R31" i="9"/>
  <c r="R35" i="9"/>
  <c r="R24" i="9"/>
  <c r="R34" i="9"/>
  <c r="Q33" i="9"/>
  <c r="Q29" i="9"/>
  <c r="Q32" i="9"/>
  <c r="Q39" i="9"/>
  <c r="Q25" i="9"/>
  <c r="Q26" i="9"/>
  <c r="Q41" i="9"/>
  <c r="Q24" i="9"/>
  <c r="Q31" i="9"/>
  <c r="Q34" i="9"/>
  <c r="Q27" i="9"/>
  <c r="Q35" i="9"/>
  <c r="Q37" i="9"/>
  <c r="Q40" i="9"/>
  <c r="Q28" i="9"/>
  <c r="B13" i="14"/>
  <c r="A14" i="14"/>
  <c r="D46" i="12"/>
  <c r="L23" i="12"/>
  <c r="O33" i="15"/>
  <c r="M43" i="15" a="1"/>
  <c r="M43" i="15" s="1"/>
  <c r="E13" i="18"/>
  <c r="B41" i="5" a="1"/>
  <c r="F46" i="12"/>
  <c r="AK15" i="16"/>
  <c r="AI41" i="16" s="1"/>
  <c r="AD11" i="16"/>
  <c r="AB37" i="16" s="1"/>
  <c r="AD29" i="16"/>
  <c r="AB55" i="16" s="1"/>
  <c r="AD22" i="16"/>
  <c r="AB48" i="16" s="1"/>
  <c r="AD18" i="16"/>
  <c r="AB44" i="16" s="1"/>
  <c r="AD10" i="16"/>
  <c r="AB36" i="16" s="1"/>
  <c r="AD19" i="16"/>
  <c r="AB45" i="16" s="1"/>
  <c r="AD13" i="16"/>
  <c r="AB39" i="16" s="1"/>
  <c r="AD17" i="16"/>
  <c r="AB43" i="16" s="1"/>
  <c r="AD26" i="16"/>
  <c r="AB52" i="16" s="1"/>
  <c r="AD12" i="16"/>
  <c r="AB38" i="16" s="1"/>
  <c r="AD16" i="16"/>
  <c r="AB42" i="16" s="1"/>
  <c r="AD21" i="16"/>
  <c r="AB47" i="16" s="1"/>
  <c r="AD23" i="16"/>
  <c r="AB49" i="16" s="1"/>
  <c r="AQ25" i="16"/>
  <c r="AO51" i="16" s="1"/>
  <c r="AN19" i="16"/>
  <c r="AL45" i="16" s="1"/>
  <c r="AN11" i="16"/>
  <c r="AL37" i="16" s="1"/>
  <c r="AN29" i="16"/>
  <c r="AL55" i="16" s="1"/>
  <c r="AN26" i="16"/>
  <c r="AL52" i="16" s="1"/>
  <c r="AN22" i="16"/>
  <c r="AL48" i="16" s="1"/>
  <c r="AN18" i="16"/>
  <c r="AL44" i="16" s="1"/>
  <c r="AN10" i="16"/>
  <c r="AL36" i="16" s="1"/>
  <c r="AN17" i="16"/>
  <c r="AL43" i="16" s="1"/>
  <c r="AN13" i="16"/>
  <c r="AL39" i="16" s="1"/>
  <c r="AN16" i="16"/>
  <c r="AL42" i="16" s="1"/>
  <c r="AN24" i="16"/>
  <c r="AL50" i="16" s="1"/>
  <c r="AN23" i="16"/>
  <c r="AL49" i="16" s="1"/>
  <c r="AN28" i="16"/>
  <c r="AL54" i="16" s="1"/>
  <c r="AN12" i="16"/>
  <c r="AL38" i="16" s="1"/>
  <c r="I41" i="5" a="1"/>
  <c r="AC8" i="16"/>
  <c r="AC14" i="16" s="1"/>
  <c r="AA40" i="16" s="1"/>
  <c r="Y14" i="16"/>
  <c r="W40" i="16" s="1"/>
  <c r="AG14" i="16"/>
  <c r="AE40" i="16" s="1"/>
  <c r="AK14" i="16"/>
  <c r="AI40" i="16" s="1"/>
  <c r="AO14" i="16"/>
  <c r="AM40" i="16" s="1"/>
  <c r="AE14" i="16"/>
  <c r="AC40" i="16" s="1"/>
  <c r="AA14" i="16"/>
  <c r="Y40" i="16" s="1"/>
  <c r="AL14" i="16"/>
  <c r="AJ40" i="16" s="1"/>
  <c r="AR14" i="16"/>
  <c r="AP40" i="16" s="1"/>
  <c r="AF14" i="16"/>
  <c r="AD40" i="16" s="1"/>
  <c r="Z14" i="16"/>
  <c r="X40" i="16" s="1"/>
  <c r="AH14" i="16"/>
  <c r="AF40" i="16" s="1"/>
  <c r="AD14" i="16"/>
  <c r="AB40" i="16" s="1"/>
  <c r="AN14" i="16"/>
  <c r="AL40" i="16" s="1"/>
  <c r="AP14" i="16"/>
  <c r="AN40" i="16" s="1"/>
  <c r="AJ14" i="16"/>
  <c r="AH40" i="16" s="1"/>
  <c r="AM14" i="16"/>
  <c r="AK40" i="16" s="1"/>
  <c r="AB14" i="16"/>
  <c r="Z40" i="16" s="1"/>
  <c r="AQ14" i="16"/>
  <c r="AO40" i="16" s="1"/>
  <c r="AK22" i="16"/>
  <c r="AI48" i="16" s="1"/>
  <c r="G47" i="15" a="1"/>
  <c r="G47" i="15" s="1"/>
  <c r="E47" i="15" a="1"/>
  <c r="E47" i="15" s="1"/>
  <c r="S37" i="9"/>
  <c r="Q39" i="15"/>
  <c r="T28" i="15"/>
  <c r="M32" i="12"/>
  <c r="M24" i="12"/>
  <c r="M39" i="12"/>
  <c r="M37" i="12"/>
  <c r="M25" i="12"/>
  <c r="M26" i="12"/>
  <c r="M28" i="12"/>
  <c r="M27" i="12"/>
  <c r="M31" i="12"/>
  <c r="M35" i="12"/>
  <c r="M23" i="12"/>
  <c r="M29" i="12"/>
  <c r="M34" i="12"/>
  <c r="M36" i="12"/>
  <c r="M30" i="12"/>
  <c r="M40" i="12"/>
  <c r="M33" i="12"/>
  <c r="B18" i="4"/>
  <c r="K18" i="4"/>
  <c r="A19" i="4"/>
  <c r="AK28" i="16"/>
  <c r="AI54" i="16" s="1"/>
  <c r="J40" i="5"/>
  <c r="I42" i="9" a="1"/>
  <c r="I42" i="9" s="1"/>
  <c r="O41" i="9" s="1"/>
  <c r="AA20" i="16"/>
  <c r="Y46" i="16" s="1"/>
  <c r="AE20" i="16"/>
  <c r="AC46" i="16" s="1"/>
  <c r="AO20" i="16"/>
  <c r="AM46" i="16" s="1"/>
  <c r="AI8" i="16"/>
  <c r="AI20" i="16" s="1"/>
  <c r="AG46" i="16" s="1"/>
  <c r="AG20" i="16"/>
  <c r="AE46" i="16" s="1"/>
  <c r="AK20" i="16"/>
  <c r="AI46" i="16" s="1"/>
  <c r="Y20" i="16"/>
  <c r="W46" i="16" s="1"/>
  <c r="AM20" i="16"/>
  <c r="AK46" i="16" s="1"/>
  <c r="AB20" i="16"/>
  <c r="Z46" i="16" s="1"/>
  <c r="AJ20" i="16"/>
  <c r="AH46" i="16" s="1"/>
  <c r="AQ20" i="16"/>
  <c r="AO46" i="16" s="1"/>
  <c r="AR20" i="16"/>
  <c r="AP46" i="16" s="1"/>
  <c r="Z20" i="16"/>
  <c r="X46" i="16" s="1"/>
  <c r="AN20" i="16"/>
  <c r="AL46" i="16" s="1"/>
  <c r="AP20" i="16"/>
  <c r="AN46" i="16" s="1"/>
  <c r="AH20" i="16"/>
  <c r="AF46" i="16" s="1"/>
  <c r="AD20" i="16"/>
  <c r="AB46" i="16" s="1"/>
  <c r="AF20" i="16"/>
  <c r="AD46" i="16" s="1"/>
  <c r="AL20" i="16"/>
  <c r="AJ46" i="16" s="1"/>
  <c r="Q26" i="15"/>
  <c r="T42" i="15"/>
  <c r="M38" i="12"/>
  <c r="M11" i="4"/>
  <c r="O11" i="4" s="1"/>
  <c r="M14" i="4"/>
  <c r="O14" i="4" s="1"/>
  <c r="M28" i="3"/>
  <c r="M31" i="3" s="1"/>
  <c r="B36" i="3"/>
  <c r="R34" i="15"/>
  <c r="G48" i="15"/>
  <c r="AK21" i="16"/>
  <c r="AI47" i="16" s="1"/>
  <c r="AK24" i="16"/>
  <c r="AI50" i="16" s="1"/>
  <c r="AK25" i="16"/>
  <c r="AI51" i="16" s="1"/>
  <c r="G61" i="3"/>
  <c r="G58" i="3"/>
  <c r="G62" i="3" s="1"/>
  <c r="T36" i="15"/>
  <c r="Q36" i="15"/>
  <c r="R36" i="15"/>
  <c r="N28" i="9"/>
  <c r="S28" i="9"/>
  <c r="S31" i="9"/>
  <c r="K43" i="15" a="1"/>
  <c r="K43" i="15" s="1"/>
  <c r="Q23" i="15"/>
  <c r="T30" i="15"/>
  <c r="K28" i="12"/>
  <c r="K24" i="12"/>
  <c r="K35" i="12"/>
  <c r="K27" i="12"/>
  <c r="K25" i="12"/>
  <c r="K34" i="12"/>
  <c r="K39" i="12"/>
  <c r="K33" i="12"/>
  <c r="K38" i="12"/>
  <c r="K31" i="12"/>
  <c r="K29" i="12"/>
  <c r="K26" i="12"/>
  <c r="K32" i="12"/>
  <c r="K23" i="12"/>
  <c r="K37" i="12"/>
  <c r="K30" i="12"/>
  <c r="O30" i="15"/>
  <c r="N11" i="4"/>
  <c r="P11" i="4" s="1"/>
  <c r="C64" i="3"/>
  <c r="I16" i="4"/>
  <c r="L43" i="15" a="1"/>
  <c r="L43" i="15" s="1"/>
  <c r="R23" i="15"/>
  <c r="R35" i="15"/>
  <c r="O37" i="15"/>
  <c r="C46" i="15" a="1"/>
  <c r="C46" i="15" s="1"/>
  <c r="AP11" i="16"/>
  <c r="AN37" i="16" s="1"/>
  <c r="AP17" i="16"/>
  <c r="AN43" i="16" s="1"/>
  <c r="AP13" i="16"/>
  <c r="AN39" i="16" s="1"/>
  <c r="AP10" i="16"/>
  <c r="AN36" i="16" s="1"/>
  <c r="AP26" i="16"/>
  <c r="AN52" i="16" s="1"/>
  <c r="AP19" i="16"/>
  <c r="AN45" i="16" s="1"/>
  <c r="AP22" i="16"/>
  <c r="AN48" i="16" s="1"/>
  <c r="AP21" i="16"/>
  <c r="AN47" i="16" s="1"/>
  <c r="AP29" i="16"/>
  <c r="AN55" i="16" s="1"/>
  <c r="AP12" i="16"/>
  <c r="AN38" i="16" s="1"/>
  <c r="AP18" i="16"/>
  <c r="AN44" i="16" s="1"/>
  <c r="AP27" i="16"/>
  <c r="AN53" i="16" s="1"/>
  <c r="AP28" i="16"/>
  <c r="AN54" i="16" s="1"/>
  <c r="AP16" i="16"/>
  <c r="AN42" i="16" s="1"/>
  <c r="AP23" i="16"/>
  <c r="AN49" i="16" s="1"/>
  <c r="D47" i="15" a="1"/>
  <c r="D47" i="15" s="1"/>
  <c r="D49" i="15" s="1"/>
  <c r="AP24" i="16"/>
  <c r="AN50" i="16" s="1"/>
  <c r="R29" i="9"/>
  <c r="D12" i="14"/>
  <c r="F12" i="14" s="1"/>
  <c r="J43" i="15" a="1"/>
  <c r="J43" i="15" s="1"/>
  <c r="P36" i="15" s="1"/>
  <c r="D47" i="12"/>
  <c r="B47" i="12"/>
  <c r="O42" i="15"/>
  <c r="P29" i="9"/>
  <c r="E24" i="18"/>
  <c r="E8" i="18"/>
  <c r="F40" i="5"/>
  <c r="E40" i="5"/>
  <c r="M12" i="4"/>
  <c r="O12" i="4" s="1"/>
  <c r="L40" i="5"/>
  <c r="B48" i="12" l="1"/>
  <c r="I41" i="12"/>
  <c r="O35" i="12" s="1"/>
  <c r="P37" i="9"/>
  <c r="P33" i="9"/>
  <c r="P34" i="9"/>
  <c r="P24" i="9"/>
  <c r="P30" i="9"/>
  <c r="P32" i="9"/>
  <c r="P39" i="9"/>
  <c r="P31" i="9"/>
  <c r="E48" i="12"/>
  <c r="P26" i="9"/>
  <c r="P36" i="9"/>
  <c r="P27" i="9"/>
  <c r="P28" i="9"/>
  <c r="P40" i="9"/>
  <c r="P41" i="9"/>
  <c r="P25" i="9"/>
  <c r="P38" i="9"/>
  <c r="J41" i="12"/>
  <c r="P29" i="12" s="1"/>
  <c r="N40" i="12"/>
  <c r="C48" i="15"/>
  <c r="G64" i="3"/>
  <c r="P64" i="3" s="1"/>
  <c r="M18" i="4"/>
  <c r="O18" i="4" s="1"/>
  <c r="M41" i="12" a="1"/>
  <c r="M41" i="12" s="1"/>
  <c r="S30" i="12" s="1"/>
  <c r="S23" i="12"/>
  <c r="S28" i="12"/>
  <c r="G49" i="15"/>
  <c r="G50" i="15" s="1"/>
  <c r="AI14" i="16"/>
  <c r="AG40" i="16" s="1"/>
  <c r="J41" i="5"/>
  <c r="I41" i="5"/>
  <c r="K41" i="5"/>
  <c r="L41" i="5"/>
  <c r="M41" i="5"/>
  <c r="S35" i="15"/>
  <c r="S30" i="15"/>
  <c r="S23" i="15"/>
  <c r="S31" i="15"/>
  <c r="S37" i="15"/>
  <c r="S25" i="15"/>
  <c r="S38" i="15"/>
  <c r="S34" i="15"/>
  <c r="S39" i="15"/>
  <c r="S33" i="15"/>
  <c r="S27" i="15"/>
  <c r="S41" i="15"/>
  <c r="S24" i="15"/>
  <c r="S28" i="15"/>
  <c r="S29" i="15"/>
  <c r="S40" i="15"/>
  <c r="S32" i="15"/>
  <c r="C13" i="14"/>
  <c r="E13" i="14" s="1"/>
  <c r="F48" i="12"/>
  <c r="N34" i="12"/>
  <c r="N23" i="12"/>
  <c r="S24" i="9"/>
  <c r="S34" i="9"/>
  <c r="S32" i="9"/>
  <c r="S30" i="9"/>
  <c r="S38" i="9"/>
  <c r="S40" i="9"/>
  <c r="S26" i="9"/>
  <c r="U25" i="15"/>
  <c r="S41" i="9"/>
  <c r="G12" i="14"/>
  <c r="D48" i="15"/>
  <c r="O33" i="9"/>
  <c r="U37" i="15"/>
  <c r="R24" i="15"/>
  <c r="R28" i="15"/>
  <c r="R32" i="15"/>
  <c r="R33" i="15"/>
  <c r="R38" i="15"/>
  <c r="Q27" i="15"/>
  <c r="Q33" i="15"/>
  <c r="Q34" i="15"/>
  <c r="Q24" i="15"/>
  <c r="Q40" i="15"/>
  <c r="Q25" i="15"/>
  <c r="Q29" i="15"/>
  <c r="Q28" i="15"/>
  <c r="Q38" i="15"/>
  <c r="Q35" i="15"/>
  <c r="Q41" i="15"/>
  <c r="Q37" i="15"/>
  <c r="S42" i="15"/>
  <c r="S36" i="15"/>
  <c r="S29" i="9"/>
  <c r="AC20" i="16"/>
  <c r="AA46" i="16" s="1"/>
  <c r="N37" i="12"/>
  <c r="H18" i="4"/>
  <c r="L18" i="4"/>
  <c r="J18" i="4"/>
  <c r="R37" i="15"/>
  <c r="S35" i="12"/>
  <c r="S26" i="12"/>
  <c r="S24" i="12"/>
  <c r="S35" i="9"/>
  <c r="C41" i="5"/>
  <c r="F41" i="5"/>
  <c r="E41" i="5"/>
  <c r="B41" i="5"/>
  <c r="D41" i="5"/>
  <c r="U33" i="15"/>
  <c r="D13" i="14"/>
  <c r="F13" i="14" s="1"/>
  <c r="U40" i="15"/>
  <c r="T35" i="15"/>
  <c r="T31" i="15"/>
  <c r="T34" i="15"/>
  <c r="T37" i="15"/>
  <c r="T39" i="15"/>
  <c r="T24" i="15"/>
  <c r="T32" i="15"/>
  <c r="T33" i="15"/>
  <c r="T29" i="15"/>
  <c r="T27" i="15"/>
  <c r="T25" i="15"/>
  <c r="T41" i="15"/>
  <c r="Q30" i="15"/>
  <c r="S33" i="9"/>
  <c r="O43" i="15" a="1"/>
  <c r="O43" i="15" s="1"/>
  <c r="U23" i="15"/>
  <c r="R30" i="15"/>
  <c r="N16" i="4"/>
  <c r="P16" i="4" s="1"/>
  <c r="N24" i="12"/>
  <c r="R41" i="15"/>
  <c r="D48" i="12"/>
  <c r="R42" i="15"/>
  <c r="R40" i="15"/>
  <c r="N36" i="12"/>
  <c r="K41" i="12" a="1"/>
  <c r="K41" i="12" s="1"/>
  <c r="Q24" i="12"/>
  <c r="T26" i="15"/>
  <c r="N29" i="12"/>
  <c r="S36" i="9"/>
  <c r="O25" i="9"/>
  <c r="I18" i="4"/>
  <c r="G18" i="4"/>
  <c r="S33" i="12"/>
  <c r="S31" i="12"/>
  <c r="S25" i="12"/>
  <c r="S32" i="12"/>
  <c r="Q42" i="15"/>
  <c r="S39" i="9"/>
  <c r="L41" i="12" a="1"/>
  <c r="L41" i="12" s="1"/>
  <c r="R34" i="12" s="1"/>
  <c r="B14" i="14"/>
  <c r="D14" i="14"/>
  <c r="A15" i="14"/>
  <c r="R25" i="15"/>
  <c r="U41" i="15"/>
  <c r="T23" i="15"/>
  <c r="Q32" i="15"/>
  <c r="S26" i="15"/>
  <c r="T38" i="15"/>
  <c r="N42" i="9" a="1"/>
  <c r="N42" i="9" s="1"/>
  <c r="T24" i="9" s="1"/>
  <c r="G31" i="3"/>
  <c r="P31" i="3" s="1"/>
  <c r="R25" i="12"/>
  <c r="R26" i="15"/>
  <c r="O28" i="12"/>
  <c r="C49" i="15"/>
  <c r="C50" i="15" s="1"/>
  <c r="P24" i="15"/>
  <c r="P35" i="15"/>
  <c r="P32" i="15"/>
  <c r="P41" i="15"/>
  <c r="P23" i="15"/>
  <c r="P29" i="15"/>
  <c r="P39" i="15"/>
  <c r="P33" i="15"/>
  <c r="P28" i="15"/>
  <c r="P27" i="15"/>
  <c r="P31" i="15"/>
  <c r="P38" i="15"/>
  <c r="P40" i="15"/>
  <c r="P25" i="15"/>
  <c r="P37" i="15"/>
  <c r="P30" i="15"/>
  <c r="P26" i="15"/>
  <c r="P34" i="15"/>
  <c r="D50" i="15"/>
  <c r="U30" i="15"/>
  <c r="Q28" i="12"/>
  <c r="P42" i="15"/>
  <c r="AI16" i="16"/>
  <c r="AG42" i="16" s="1"/>
  <c r="AI26" i="16"/>
  <c r="AG52" i="16" s="1"/>
  <c r="AI18" i="16"/>
  <c r="AG44" i="16" s="1"/>
  <c r="AI19" i="16"/>
  <c r="AG45" i="16" s="1"/>
  <c r="AI10" i="16"/>
  <c r="AG36" i="16" s="1"/>
  <c r="AI23" i="16"/>
  <c r="AG49" i="16" s="1"/>
  <c r="AI11" i="16"/>
  <c r="AG37" i="16" s="1"/>
  <c r="AI13" i="16"/>
  <c r="AG39" i="16" s="1"/>
  <c r="AI22" i="16"/>
  <c r="AG48" i="16" s="1"/>
  <c r="AI29" i="16"/>
  <c r="AG55" i="16" s="1"/>
  <c r="AI27" i="16"/>
  <c r="AG53" i="16" s="1"/>
  <c r="AI28" i="16"/>
  <c r="AG54" i="16" s="1"/>
  <c r="AI17" i="16"/>
  <c r="AG43" i="16" s="1"/>
  <c r="AI25" i="16"/>
  <c r="AG51" i="16" s="1"/>
  <c r="AI21" i="16"/>
  <c r="AG47" i="16" s="1"/>
  <c r="AI24" i="16"/>
  <c r="AG50" i="16" s="1"/>
  <c r="AI12" i="16"/>
  <c r="AG38" i="16" s="1"/>
  <c r="AI15" i="16"/>
  <c r="AG41" i="16" s="1"/>
  <c r="O32" i="9"/>
  <c r="O30" i="9"/>
  <c r="O39" i="9"/>
  <c r="O37" i="9"/>
  <c r="O24" i="9"/>
  <c r="O40" i="9"/>
  <c r="O29" i="9"/>
  <c r="O35" i="9"/>
  <c r="O38" i="9"/>
  <c r="O31" i="9"/>
  <c r="O27" i="9"/>
  <c r="O34" i="9"/>
  <c r="O36" i="9"/>
  <c r="O26" i="9"/>
  <c r="O28" i="9"/>
  <c r="B19" i="4"/>
  <c r="A20" i="4"/>
  <c r="I19" i="4"/>
  <c r="S29" i="12"/>
  <c r="S27" i="12"/>
  <c r="S37" i="12"/>
  <c r="E49" i="15"/>
  <c r="E50" i="15" s="1"/>
  <c r="AC18" i="16"/>
  <c r="AA44" i="16" s="1"/>
  <c r="AC10" i="16"/>
  <c r="AA36" i="16" s="1"/>
  <c r="AC12" i="16"/>
  <c r="AA38" i="16" s="1"/>
  <c r="AC26" i="16"/>
  <c r="AA52" i="16" s="1"/>
  <c r="AC29" i="16"/>
  <c r="AA55" i="16" s="1"/>
  <c r="AC23" i="16"/>
  <c r="AA49" i="16" s="1"/>
  <c r="AC19" i="16"/>
  <c r="AA45" i="16" s="1"/>
  <c r="AC11" i="16"/>
  <c r="AA37" i="16" s="1"/>
  <c r="AC13" i="16"/>
  <c r="AA39" i="16" s="1"/>
  <c r="AC16" i="16"/>
  <c r="AA42" i="16" s="1"/>
  <c r="AC17" i="16"/>
  <c r="AA43" i="16" s="1"/>
  <c r="AC15" i="16"/>
  <c r="AA41" i="16" s="1"/>
  <c r="AC22" i="16"/>
  <c r="AA48" i="16" s="1"/>
  <c r="AC27" i="16"/>
  <c r="AA53" i="16" s="1"/>
  <c r="AC28" i="16"/>
  <c r="AA54" i="16" s="1"/>
  <c r="AC24" i="16"/>
  <c r="AA50" i="16" s="1"/>
  <c r="AC21" i="16"/>
  <c r="AA47" i="16" s="1"/>
  <c r="AC25" i="16"/>
  <c r="AA51" i="16" s="1"/>
  <c r="N33" i="12"/>
  <c r="N39" i="12"/>
  <c r="N31" i="12"/>
  <c r="N28" i="12"/>
  <c r="N38" i="12"/>
  <c r="N26" i="12"/>
  <c r="N30" i="12"/>
  <c r="N25" i="12"/>
  <c r="N27" i="12"/>
  <c r="N32" i="12"/>
  <c r="F48" i="15"/>
  <c r="R31" i="12"/>
  <c r="F49" i="15"/>
  <c r="F50" i="15" s="1"/>
  <c r="J25" i="17" a="1"/>
  <c r="J24" i="17" a="1"/>
  <c r="O26" i="12" l="1"/>
  <c r="O24" i="12"/>
  <c r="O31" i="12"/>
  <c r="O39" i="12"/>
  <c r="P24" i="12"/>
  <c r="P25" i="12"/>
  <c r="P39" i="12"/>
  <c r="O38" i="12"/>
  <c r="O40" i="12"/>
  <c r="O36" i="12"/>
  <c r="O32" i="12"/>
  <c r="O34" i="12"/>
  <c r="O37" i="12"/>
  <c r="O25" i="12"/>
  <c r="O30" i="12"/>
  <c r="O27" i="12"/>
  <c r="O23" i="12"/>
  <c r="O29" i="12"/>
  <c r="O33" i="12"/>
  <c r="P28" i="12"/>
  <c r="P30" i="12"/>
  <c r="P40" i="12"/>
  <c r="P34" i="12"/>
  <c r="P23" i="12"/>
  <c r="P27" i="12"/>
  <c r="P32" i="12"/>
  <c r="P35" i="12"/>
  <c r="P26" i="12"/>
  <c r="P33" i="12"/>
  <c r="P37" i="12"/>
  <c r="P31" i="12"/>
  <c r="P38" i="12"/>
  <c r="P36" i="12"/>
  <c r="T36" i="9"/>
  <c r="T29" i="9"/>
  <c r="T32" i="9"/>
  <c r="T34" i="9"/>
  <c r="J25" i="17"/>
  <c r="J26" i="17" s="1"/>
  <c r="N25" i="17"/>
  <c r="N26" i="17" s="1"/>
  <c r="N27" i="17" s="1"/>
  <c r="K25" i="17"/>
  <c r="K26" i="17" s="1"/>
  <c r="K27" i="17" s="1"/>
  <c r="M25" i="17"/>
  <c r="M26" i="17" s="1"/>
  <c r="M27" i="17" s="1"/>
  <c r="L25" i="17"/>
  <c r="L26" i="17" s="1"/>
  <c r="L27" i="17" s="1"/>
  <c r="J19" i="4"/>
  <c r="L19" i="4"/>
  <c r="H19" i="4"/>
  <c r="Q36" i="12"/>
  <c r="Q40" i="12"/>
  <c r="R28" i="12"/>
  <c r="E42" i="5"/>
  <c r="Q35" i="12"/>
  <c r="R24" i="12"/>
  <c r="G13" i="14"/>
  <c r="K42" i="5"/>
  <c r="Q26" i="12"/>
  <c r="R30" i="12"/>
  <c r="B20" i="4"/>
  <c r="I20" i="4"/>
  <c r="A21" i="4"/>
  <c r="G20" i="4"/>
  <c r="Q25" i="12"/>
  <c r="R32" i="12"/>
  <c r="T26" i="9"/>
  <c r="T39" i="9"/>
  <c r="T33" i="9"/>
  <c r="R23" i="12"/>
  <c r="Q34" i="12"/>
  <c r="R35" i="12"/>
  <c r="T31" i="9"/>
  <c r="F42" i="5"/>
  <c r="Q39" i="12"/>
  <c r="R39" i="12"/>
  <c r="T40" i="9"/>
  <c r="I42" i="5"/>
  <c r="Q30" i="12"/>
  <c r="R40" i="12"/>
  <c r="T37" i="9"/>
  <c r="K19" i="4"/>
  <c r="Q38" i="12"/>
  <c r="R36" i="12"/>
  <c r="R38" i="12"/>
  <c r="T27" i="9"/>
  <c r="F14" i="14"/>
  <c r="C14" i="14"/>
  <c r="E14" i="14" s="1"/>
  <c r="G14" i="14" s="1"/>
  <c r="Q31" i="12"/>
  <c r="R27" i="12"/>
  <c r="T30" i="9"/>
  <c r="U38" i="15"/>
  <c r="U39" i="15"/>
  <c r="U29" i="15"/>
  <c r="U35" i="15"/>
  <c r="U31" i="15"/>
  <c r="U26" i="15"/>
  <c r="U27" i="15"/>
  <c r="U36" i="15"/>
  <c r="D42" i="5"/>
  <c r="C42" i="5"/>
  <c r="N18" i="4"/>
  <c r="P18" i="4" s="1"/>
  <c r="T28" i="9"/>
  <c r="Q29" i="12"/>
  <c r="R29" i="12"/>
  <c r="T25" i="9"/>
  <c r="U28" i="15"/>
  <c r="N41" i="12" a="1"/>
  <c r="N41" i="12" s="1"/>
  <c r="M42" i="5"/>
  <c r="J42" i="5"/>
  <c r="S38" i="12"/>
  <c r="Q27" i="12"/>
  <c r="U42" i="15"/>
  <c r="M24" i="17"/>
  <c r="M28" i="17" s="1"/>
  <c r="K24" i="17"/>
  <c r="K28" i="17" s="1"/>
  <c r="L24" i="17"/>
  <c r="L28" i="17" s="1"/>
  <c r="J24" i="17"/>
  <c r="N24" i="17"/>
  <c r="R37" i="12"/>
  <c r="T38" i="9"/>
  <c r="U32" i="15"/>
  <c r="S40" i="12"/>
  <c r="G19" i="4"/>
  <c r="Q32" i="12"/>
  <c r="R26" i="12"/>
  <c r="T41" i="9"/>
  <c r="U24" i="15"/>
  <c r="B15" i="14"/>
  <c r="A16" i="14"/>
  <c r="S34" i="12"/>
  <c r="Q23" i="12"/>
  <c r="R33" i="12"/>
  <c r="T35" i="9"/>
  <c r="U34" i="15"/>
  <c r="B42" i="5"/>
  <c r="S36" i="12"/>
  <c r="Q37" i="12"/>
  <c r="L42" i="5"/>
  <c r="S39" i="12"/>
  <c r="Q33" i="12"/>
  <c r="U24" i="9" l="1" a="1"/>
  <c r="V41" i="9" s="1"/>
  <c r="J28" i="17"/>
  <c r="T35" i="12"/>
  <c r="T40" i="12"/>
  <c r="T36" i="12"/>
  <c r="T39" i="12"/>
  <c r="C15" i="14"/>
  <c r="E15" i="14" s="1"/>
  <c r="V23" i="15" a="1"/>
  <c r="T25" i="12"/>
  <c r="T38" i="12"/>
  <c r="T32" i="12"/>
  <c r="M19" i="4"/>
  <c r="O19" i="4" s="1"/>
  <c r="I43" i="5" a="1"/>
  <c r="L20" i="4"/>
  <c r="H20" i="4"/>
  <c r="J20" i="4"/>
  <c r="T27" i="12"/>
  <c r="T26" i="12"/>
  <c r="J27" i="17"/>
  <c r="J37" i="17" s="1" a="1"/>
  <c r="J36" i="17" a="1"/>
  <c r="B16" i="14"/>
  <c r="D16" i="14"/>
  <c r="A17" i="14"/>
  <c r="T31" i="12"/>
  <c r="T24" i="12"/>
  <c r="A22" i="4"/>
  <c r="K21" i="4"/>
  <c r="G21" i="4"/>
  <c r="B21" i="4"/>
  <c r="I21" i="4"/>
  <c r="B43" i="5" a="1"/>
  <c r="N19" i="4"/>
  <c r="P19" i="4" s="1"/>
  <c r="T34" i="12"/>
  <c r="D15" i="14"/>
  <c r="F15" i="14" s="1"/>
  <c r="T30" i="12"/>
  <c r="N28" i="17"/>
  <c r="T23" i="12"/>
  <c r="T29" i="12"/>
  <c r="T28" i="12"/>
  <c r="T37" i="12"/>
  <c r="K20" i="4"/>
  <c r="M20" i="4" s="1"/>
  <c r="O20" i="4" s="1"/>
  <c r="T33" i="12"/>
  <c r="W24" i="9" l="1"/>
  <c r="AC24" i="9" s="1"/>
  <c r="X38" i="9"/>
  <c r="AD38" i="9" s="1"/>
  <c r="X25" i="9"/>
  <c r="AD25" i="9" s="1"/>
  <c r="Y41" i="9"/>
  <c r="AE41" i="9" s="1"/>
  <c r="V40" i="9"/>
  <c r="AB40" i="9" s="1"/>
  <c r="W41" i="9"/>
  <c r="AC41" i="9" s="1"/>
  <c r="X27" i="9"/>
  <c r="AD27" i="9" s="1"/>
  <c r="W26" i="9"/>
  <c r="AC26" i="9" s="1"/>
  <c r="X37" i="9"/>
  <c r="AD37" i="9" s="1"/>
  <c r="W40" i="9"/>
  <c r="AC40" i="9" s="1"/>
  <c r="Y26" i="9"/>
  <c r="AE26" i="9" s="1"/>
  <c r="Z28" i="9"/>
  <c r="AF28" i="9" s="1"/>
  <c r="Y40" i="9"/>
  <c r="AE40" i="9" s="1"/>
  <c r="Z35" i="9"/>
  <c r="AF35" i="9" s="1"/>
  <c r="V24" i="9"/>
  <c r="AB24" i="9" s="1"/>
  <c r="W31" i="9"/>
  <c r="AC31" i="9" s="1"/>
  <c r="V31" i="9"/>
  <c r="AB31" i="9" s="1"/>
  <c r="U25" i="9"/>
  <c r="AA25" i="9" s="1"/>
  <c r="Z36" i="9"/>
  <c r="AF36" i="9" s="1"/>
  <c r="U39" i="9"/>
  <c r="AA39" i="9" s="1"/>
  <c r="W25" i="9"/>
  <c r="AC25" i="9" s="1"/>
  <c r="V28" i="9"/>
  <c r="AB28" i="9" s="1"/>
  <c r="W39" i="9"/>
  <c r="AC39" i="9" s="1"/>
  <c r="V35" i="9"/>
  <c r="AB35" i="9" s="1"/>
  <c r="U33" i="9"/>
  <c r="AA33" i="9" s="1"/>
  <c r="Z40" i="9"/>
  <c r="AF40" i="9" s="1"/>
  <c r="X26" i="9"/>
  <c r="AD26" i="9" s="1"/>
  <c r="X31" i="9"/>
  <c r="AD31" i="9" s="1"/>
  <c r="Y31" i="9"/>
  <c r="AE31" i="9" s="1"/>
  <c r="W28" i="9"/>
  <c r="AC28" i="9" s="1"/>
  <c r="V36" i="9"/>
  <c r="AB36" i="9" s="1"/>
  <c r="Z25" i="9"/>
  <c r="AF25" i="9" s="1"/>
  <c r="X29" i="9"/>
  <c r="AD29" i="9" s="1"/>
  <c r="Y24" i="9"/>
  <c r="AE24" i="9" s="1"/>
  <c r="Y39" i="9"/>
  <c r="AE39" i="9" s="1"/>
  <c r="Y28" i="9"/>
  <c r="AE28" i="9" s="1"/>
  <c r="Z29" i="9"/>
  <c r="AF29" i="9" s="1"/>
  <c r="U40" i="9"/>
  <c r="AA40" i="9" s="1"/>
  <c r="X35" i="9"/>
  <c r="AD35" i="9" s="1"/>
  <c r="W36" i="9"/>
  <c r="AC36" i="9" s="1"/>
  <c r="Y30" i="9"/>
  <c r="AE30" i="9" s="1"/>
  <c r="Z30" i="9"/>
  <c r="AF30" i="9" s="1"/>
  <c r="U27" i="9"/>
  <c r="AA27" i="9" s="1"/>
  <c r="Z37" i="9"/>
  <c r="AF37" i="9" s="1"/>
  <c r="W38" i="9"/>
  <c r="AC38" i="9" s="1"/>
  <c r="W27" i="9"/>
  <c r="AC27" i="9" s="1"/>
  <c r="V29" i="9"/>
  <c r="AB29" i="9" s="1"/>
  <c r="W33" i="9"/>
  <c r="AC33" i="9" s="1"/>
  <c r="V32" i="9"/>
  <c r="AB32" i="9" s="1"/>
  <c r="Y29" i="9"/>
  <c r="AE29" i="9" s="1"/>
  <c r="V39" i="9"/>
  <c r="AB39" i="9" s="1"/>
  <c r="U41" i="9"/>
  <c r="AA41" i="9" s="1"/>
  <c r="U30" i="9"/>
  <c r="AA30" i="9" s="1"/>
  <c r="X30" i="9"/>
  <c r="AD30" i="9" s="1"/>
  <c r="U34" i="9"/>
  <c r="AA34" i="9" s="1"/>
  <c r="X32" i="9"/>
  <c r="AD32" i="9" s="1"/>
  <c r="U28" i="9"/>
  <c r="AA28" i="9" s="1"/>
  <c r="Y27" i="9"/>
  <c r="AE27" i="9" s="1"/>
  <c r="U24" i="9"/>
  <c r="AA24" i="9" s="1"/>
  <c r="Y37" i="9"/>
  <c r="AE37" i="9" s="1"/>
  <c r="X34" i="9"/>
  <c r="AD34" i="9" s="1"/>
  <c r="Z26" i="9"/>
  <c r="AF26" i="9" s="1"/>
  <c r="Y36" i="9"/>
  <c r="AE36" i="9" s="1"/>
  <c r="Z33" i="9"/>
  <c r="AF33" i="9" s="1"/>
  <c r="W30" i="9"/>
  <c r="AC30" i="9" s="1"/>
  <c r="X39" i="9"/>
  <c r="AD39" i="9" s="1"/>
  <c r="V25" i="9"/>
  <c r="AB25" i="9" s="1"/>
  <c r="Y38" i="9"/>
  <c r="AE38" i="9" s="1"/>
  <c r="Z34" i="9"/>
  <c r="AF34" i="9" s="1"/>
  <c r="U35" i="9"/>
  <c r="AA35" i="9" s="1"/>
  <c r="Z41" i="9"/>
  <c r="AF41" i="9" s="1"/>
  <c r="V26" i="9"/>
  <c r="AB26" i="9" s="1"/>
  <c r="W35" i="9"/>
  <c r="AC35" i="9" s="1"/>
  <c r="V33" i="9"/>
  <c r="AB33" i="9" s="1"/>
  <c r="U29" i="9"/>
  <c r="AA29" i="9" s="1"/>
  <c r="Z38" i="9"/>
  <c r="AF38" i="9" s="1"/>
  <c r="X24" i="9"/>
  <c r="AD24" i="9" s="1"/>
  <c r="W29" i="9"/>
  <c r="AC29" i="9" s="1"/>
  <c r="V30" i="9"/>
  <c r="AB30" i="9" s="1"/>
  <c r="Y25" i="9"/>
  <c r="AE25" i="9" s="1"/>
  <c r="V37" i="9"/>
  <c r="AB37" i="9" s="1"/>
  <c r="Y35" i="9"/>
  <c r="AE35" i="9" s="1"/>
  <c r="U38" i="9"/>
  <c r="AA38" i="9" s="1"/>
  <c r="U32" i="9"/>
  <c r="AA32" i="9" s="1"/>
  <c r="V38" i="9"/>
  <c r="AB38" i="9" s="1"/>
  <c r="Z27" i="9"/>
  <c r="AF27" i="9" s="1"/>
  <c r="X36" i="9"/>
  <c r="AD36" i="9" s="1"/>
  <c r="U36" i="9"/>
  <c r="AA36" i="9" s="1"/>
  <c r="X33" i="9"/>
  <c r="AD33" i="9" s="1"/>
  <c r="W32" i="9"/>
  <c r="AC32" i="9" s="1"/>
  <c r="X40" i="9"/>
  <c r="AD40" i="9" s="1"/>
  <c r="Z24" i="9"/>
  <c r="AF24" i="9" s="1"/>
  <c r="Y32" i="9"/>
  <c r="AE32" i="9" s="1"/>
  <c r="Z31" i="9"/>
  <c r="AF31" i="9" s="1"/>
  <c r="W34" i="9"/>
  <c r="AC34" i="9" s="1"/>
  <c r="X41" i="9"/>
  <c r="AD41" i="9" s="1"/>
  <c r="V27" i="9"/>
  <c r="AB27" i="9" s="1"/>
  <c r="Y34" i="9"/>
  <c r="AE34" i="9" s="1"/>
  <c r="Z32" i="9"/>
  <c r="AF32" i="9" s="1"/>
  <c r="U31" i="9"/>
  <c r="AA31" i="9" s="1"/>
  <c r="Z39" i="9"/>
  <c r="AF39" i="9" s="1"/>
  <c r="U37" i="9"/>
  <c r="AA37" i="9" s="1"/>
  <c r="U26" i="9"/>
  <c r="AA26" i="9" s="1"/>
  <c r="X28" i="9"/>
  <c r="AD28" i="9" s="1"/>
  <c r="W37" i="9"/>
  <c r="AC37" i="9" s="1"/>
  <c r="V34" i="9"/>
  <c r="AB34" i="9" s="1"/>
  <c r="Y33" i="9"/>
  <c r="AE33" i="9" s="1"/>
  <c r="K37" i="17"/>
  <c r="J37" i="17"/>
  <c r="N37" i="17"/>
  <c r="M37" i="17"/>
  <c r="L37" i="17"/>
  <c r="B43" i="5"/>
  <c r="B44" i="5" s="1"/>
  <c r="B16" i="5" s="1"/>
  <c r="C43" i="5"/>
  <c r="C44" i="5" s="1"/>
  <c r="C16" i="5" s="1"/>
  <c r="D43" i="5"/>
  <c r="D44" i="5" s="1"/>
  <c r="D16" i="5" s="1"/>
  <c r="E43" i="5"/>
  <c r="E44" i="5" s="1"/>
  <c r="E16" i="5" s="1"/>
  <c r="E17" i="5" s="1"/>
  <c r="F43" i="5"/>
  <c r="F44" i="5" s="1"/>
  <c r="F16" i="5" s="1"/>
  <c r="F17" i="5" s="1"/>
  <c r="X42" i="15"/>
  <c r="AA24" i="15"/>
  <c r="Y40" i="15"/>
  <c r="Y29" i="15"/>
  <c r="Y37" i="15"/>
  <c r="Z24" i="15"/>
  <c r="V30" i="15"/>
  <c r="X35" i="15"/>
  <c r="Z40" i="15"/>
  <c r="W32" i="15"/>
  <c r="W25" i="15"/>
  <c r="AA32" i="15"/>
  <c r="W41" i="15"/>
  <c r="V27" i="15"/>
  <c r="X32" i="15"/>
  <c r="Z37" i="15"/>
  <c r="AA34" i="15"/>
  <c r="Y24" i="15"/>
  <c r="Y34" i="15"/>
  <c r="AA40" i="15"/>
  <c r="V28" i="15"/>
  <c r="V32" i="15"/>
  <c r="Z38" i="15"/>
  <c r="Z42" i="15"/>
  <c r="Y41" i="15"/>
  <c r="AA27" i="15"/>
  <c r="W38" i="15"/>
  <c r="Z23" i="15"/>
  <c r="X30" i="15"/>
  <c r="X34" i="15"/>
  <c r="V41" i="15"/>
  <c r="W33" i="15"/>
  <c r="Y27" i="15"/>
  <c r="AA39" i="15"/>
  <c r="X27" i="15"/>
  <c r="V34" i="15"/>
  <c r="V42" i="15"/>
  <c r="Y39" i="15"/>
  <c r="AA30" i="15"/>
  <c r="V23" i="15"/>
  <c r="Z29" i="15"/>
  <c r="X36" i="15"/>
  <c r="W27" i="15"/>
  <c r="Y28" i="15"/>
  <c r="Y36" i="15"/>
  <c r="AA42" i="15"/>
  <c r="X37" i="15"/>
  <c r="X41" i="15"/>
  <c r="W34" i="15"/>
  <c r="AA31" i="15"/>
  <c r="W40" i="15"/>
  <c r="V25" i="15"/>
  <c r="Z39" i="15"/>
  <c r="W37" i="15"/>
  <c r="Y31" i="15"/>
  <c r="W42" i="15"/>
  <c r="Z28" i="15"/>
  <c r="Z36" i="15"/>
  <c r="AA23" i="15"/>
  <c r="W23" i="15"/>
  <c r="W35" i="15"/>
  <c r="X24" i="15"/>
  <c r="V31" i="15"/>
  <c r="V39" i="15"/>
  <c r="W31" i="15"/>
  <c r="AA41" i="15"/>
  <c r="Y30" i="15"/>
  <c r="V24" i="15"/>
  <c r="X29" i="15"/>
  <c r="X33" i="15"/>
  <c r="AA37" i="15"/>
  <c r="W26" i="15"/>
  <c r="AA33" i="15"/>
  <c r="X26" i="15"/>
  <c r="Z31" i="15"/>
  <c r="Z35" i="15"/>
  <c r="Y23" i="15"/>
  <c r="Y33" i="15"/>
  <c r="X23" i="15"/>
  <c r="X31" i="15"/>
  <c r="V38" i="15"/>
  <c r="W28" i="15"/>
  <c r="AA26" i="15"/>
  <c r="AA36" i="15"/>
  <c r="Z25" i="15"/>
  <c r="Z33" i="15"/>
  <c r="X40" i="15"/>
  <c r="Y32" i="15"/>
  <c r="Y38" i="15"/>
  <c r="X25" i="15"/>
  <c r="Z34" i="15"/>
  <c r="V40" i="15"/>
  <c r="AA25" i="15"/>
  <c r="W36" i="15"/>
  <c r="Y42" i="15"/>
  <c r="Z27" i="15"/>
  <c r="V37" i="15"/>
  <c r="Y35" i="15"/>
  <c r="AA35" i="15"/>
  <c r="V35" i="15"/>
  <c r="V36" i="15"/>
  <c r="AA29" i="15"/>
  <c r="V33" i="15"/>
  <c r="V26" i="15"/>
  <c r="W39" i="15"/>
  <c r="Y26" i="15"/>
  <c r="Y25" i="15"/>
  <c r="X28" i="15"/>
  <c r="Z26" i="15"/>
  <c r="Z32" i="15"/>
  <c r="Z41" i="15"/>
  <c r="Z30" i="15"/>
  <c r="V29" i="15"/>
  <c r="X39" i="15"/>
  <c r="W30" i="15"/>
  <c r="AA28" i="15"/>
  <c r="W24" i="15"/>
  <c r="W29" i="15"/>
  <c r="AA38" i="15"/>
  <c r="X38" i="15"/>
  <c r="J38" i="17"/>
  <c r="C8" i="17" s="1"/>
  <c r="G15" i="14"/>
  <c r="A23" i="4"/>
  <c r="G22" i="4"/>
  <c r="K22" i="4"/>
  <c r="B22" i="4"/>
  <c r="I22" i="4" s="1"/>
  <c r="M36" i="17"/>
  <c r="M38" i="17" s="1"/>
  <c r="F8" i="17" s="1"/>
  <c r="J36" i="17"/>
  <c r="N36" i="17"/>
  <c r="K36" i="17"/>
  <c r="K38" i="17" s="1"/>
  <c r="D8" i="17" s="1"/>
  <c r="L36" i="17"/>
  <c r="L38" i="17" s="1"/>
  <c r="E8" i="17" s="1"/>
  <c r="N20" i="4"/>
  <c r="P20" i="4" s="1"/>
  <c r="I43" i="5"/>
  <c r="I44" i="5" s="1"/>
  <c r="I16" i="5" s="1"/>
  <c r="I17" i="5" s="1"/>
  <c r="K43" i="5"/>
  <c r="K44" i="5" s="1"/>
  <c r="K16" i="5" s="1"/>
  <c r="K17" i="5" s="1"/>
  <c r="L43" i="5"/>
  <c r="L44" i="5" s="1"/>
  <c r="L16" i="5" s="1"/>
  <c r="L17" i="5" s="1"/>
  <c r="J43" i="5"/>
  <c r="J44" i="5" s="1"/>
  <c r="J16" i="5" s="1"/>
  <c r="J17" i="5" s="1"/>
  <c r="M43" i="5"/>
  <c r="M44" i="5" s="1"/>
  <c r="M16" i="5" s="1"/>
  <c r="M17" i="5" s="1"/>
  <c r="N38" i="17"/>
  <c r="G8" i="17" s="1"/>
  <c r="U23" i="12" a="1"/>
  <c r="L21" i="4"/>
  <c r="M21" i="4" s="1"/>
  <c r="O21" i="4" s="1"/>
  <c r="J21" i="4"/>
  <c r="H21" i="4"/>
  <c r="B17" i="14"/>
  <c r="D17" i="14"/>
  <c r="A18" i="14"/>
  <c r="C16" i="14"/>
  <c r="E16" i="14" s="1"/>
  <c r="F16" i="14"/>
  <c r="AB41" i="9"/>
  <c r="B18" i="14" l="1"/>
  <c r="A19" i="14"/>
  <c r="D18" i="14"/>
  <c r="AC29" i="15"/>
  <c r="AD39" i="15"/>
  <c r="AF32" i="15"/>
  <c r="AE26" i="15"/>
  <c r="AG29" i="15"/>
  <c r="AE35" i="15"/>
  <c r="AC36" i="15"/>
  <c r="AD25" i="15"/>
  <c r="AF33" i="15"/>
  <c r="AC28" i="15"/>
  <c r="AE33" i="15"/>
  <c r="AD26" i="15"/>
  <c r="AD33" i="15"/>
  <c r="AG41" i="15"/>
  <c r="AD24" i="15"/>
  <c r="AF36" i="15"/>
  <c r="AC37" i="15"/>
  <c r="AG31" i="15"/>
  <c r="AG42" i="15"/>
  <c r="AD36" i="15"/>
  <c r="AE39" i="15"/>
  <c r="AG39" i="15"/>
  <c r="AD34" i="15"/>
  <c r="AG27" i="15"/>
  <c r="AB32" i="15"/>
  <c r="AE24" i="15"/>
  <c r="AB27" i="15"/>
  <c r="AC32" i="15"/>
  <c r="AF24" i="15"/>
  <c r="AG24" i="15"/>
  <c r="D17" i="5"/>
  <c r="R12" i="5"/>
  <c r="G16" i="14"/>
  <c r="A24" i="4"/>
  <c r="B23" i="4"/>
  <c r="G23" i="4"/>
  <c r="AC24" i="15"/>
  <c r="AB29" i="15"/>
  <c r="AF26" i="15"/>
  <c r="AC39" i="15"/>
  <c r="AB36" i="15"/>
  <c r="AB37" i="15"/>
  <c r="AG25" i="15"/>
  <c r="AE38" i="15"/>
  <c r="AF25" i="15"/>
  <c r="AB38" i="15"/>
  <c r="AE23" i="15"/>
  <c r="AG33" i="15"/>
  <c r="AD29" i="15"/>
  <c r="AC31" i="15"/>
  <c r="AC35" i="15"/>
  <c r="AF28" i="15"/>
  <c r="AF39" i="15"/>
  <c r="AC34" i="15"/>
  <c r="AE36" i="15"/>
  <c r="AF29" i="15"/>
  <c r="AB42" i="15"/>
  <c r="AE27" i="15"/>
  <c r="AD30" i="15"/>
  <c r="AE41" i="15"/>
  <c r="AB28" i="15"/>
  <c r="AG34" i="15"/>
  <c r="AC41" i="15"/>
  <c r="AF40" i="15"/>
  <c r="AE37" i="15"/>
  <c r="AD42" i="15"/>
  <c r="C17" i="5"/>
  <c r="Q12" i="5"/>
  <c r="F17" i="14"/>
  <c r="C17" i="14"/>
  <c r="E17" i="14" s="1"/>
  <c r="N21" i="4"/>
  <c r="P21" i="4" s="1"/>
  <c r="AG24" i="9" a="1"/>
  <c r="L22" i="4"/>
  <c r="N22" i="4" s="1"/>
  <c r="P22" i="4" s="1"/>
  <c r="H22" i="4"/>
  <c r="J22" i="4"/>
  <c r="AD38" i="15"/>
  <c r="AG28" i="15"/>
  <c r="AF30" i="15"/>
  <c r="AD28" i="15"/>
  <c r="AB26" i="15"/>
  <c r="AB35" i="15"/>
  <c r="AF27" i="15"/>
  <c r="AB40" i="15"/>
  <c r="AE32" i="15"/>
  <c r="AG36" i="15"/>
  <c r="AD31" i="15"/>
  <c r="AF35" i="15"/>
  <c r="AC26" i="15"/>
  <c r="AB24" i="15"/>
  <c r="AB39" i="15"/>
  <c r="AC23" i="15"/>
  <c r="AC42" i="15"/>
  <c r="AB25" i="15"/>
  <c r="AD41" i="15"/>
  <c r="AE28" i="15"/>
  <c r="AB23" i="15"/>
  <c r="AH23" i="15" s="1" a="1"/>
  <c r="AB34" i="15"/>
  <c r="AC33" i="15"/>
  <c r="AF23" i="15"/>
  <c r="AF42" i="15"/>
  <c r="AG40" i="15"/>
  <c r="AF37" i="15"/>
  <c r="AG32" i="15"/>
  <c r="AD35" i="15"/>
  <c r="AE29" i="15"/>
  <c r="B17" i="5"/>
  <c r="P12" i="5"/>
  <c r="Y39" i="12"/>
  <c r="U37" i="12"/>
  <c r="W34" i="12"/>
  <c r="Y31" i="12"/>
  <c r="U29" i="12"/>
  <c r="W26" i="12"/>
  <c r="Y23" i="12"/>
  <c r="V37" i="12"/>
  <c r="Z31" i="12"/>
  <c r="V27" i="12"/>
  <c r="V40" i="12"/>
  <c r="V34" i="12"/>
  <c r="X27" i="12"/>
  <c r="V26" i="12"/>
  <c r="Y38" i="12"/>
  <c r="U36" i="12"/>
  <c r="W33" i="12"/>
  <c r="Y30" i="12"/>
  <c r="U28" i="12"/>
  <c r="W25" i="12"/>
  <c r="X40" i="12"/>
  <c r="V35" i="12"/>
  <c r="V29" i="12"/>
  <c r="Z23" i="12"/>
  <c r="V36" i="12"/>
  <c r="V30" i="12"/>
  <c r="Z24" i="12"/>
  <c r="W40" i="12"/>
  <c r="Y37" i="12"/>
  <c r="U35" i="12"/>
  <c r="W32" i="12"/>
  <c r="Y29" i="12"/>
  <c r="U27" i="12"/>
  <c r="W24" i="12"/>
  <c r="X38" i="12"/>
  <c r="V33" i="12"/>
  <c r="X28" i="12"/>
  <c r="V23" i="12"/>
  <c r="X23" i="12"/>
  <c r="V25" i="12"/>
  <c r="U26" i="12"/>
  <c r="W27" i="12"/>
  <c r="Y28" i="12"/>
  <c r="X29" i="12"/>
  <c r="X30" i="12"/>
  <c r="X31" i="12"/>
  <c r="Z32" i="12"/>
  <c r="U34" i="12"/>
  <c r="W35" i="12"/>
  <c r="X36" i="12"/>
  <c r="Z36" i="12"/>
  <c r="V38" i="12"/>
  <c r="V39" i="12"/>
  <c r="Y40" i="12"/>
  <c r="W30" i="12"/>
  <c r="X34" i="12"/>
  <c r="Z30" i="12"/>
  <c r="Y34" i="12"/>
  <c r="U24" i="12"/>
  <c r="X39" i="12"/>
  <c r="U39" i="12"/>
  <c r="W28" i="12"/>
  <c r="V31" i="12"/>
  <c r="X25" i="12"/>
  <c r="U30" i="12"/>
  <c r="Z34" i="12"/>
  <c r="Z38" i="12"/>
  <c r="U33" i="12"/>
  <c r="Z39" i="12"/>
  <c r="X37" i="12"/>
  <c r="W37" i="12"/>
  <c r="Y26" i="12"/>
  <c r="X26" i="12"/>
  <c r="V32" i="12"/>
  <c r="U31" i="12"/>
  <c r="Z35" i="12"/>
  <c r="Y24" i="12"/>
  <c r="Z28" i="12"/>
  <c r="Z33" i="12"/>
  <c r="U38" i="12"/>
  <c r="Y35" i="12"/>
  <c r="U25" i="12"/>
  <c r="X24" i="12"/>
  <c r="U40" i="12"/>
  <c r="W29" i="12"/>
  <c r="X32" i="12"/>
  <c r="V28" i="12"/>
  <c r="Y33" i="12"/>
  <c r="U23" i="12"/>
  <c r="W23" i="12"/>
  <c r="Z27" i="12"/>
  <c r="V24" i="12"/>
  <c r="W36" i="12"/>
  <c r="W31" i="12"/>
  <c r="W39" i="12"/>
  <c r="U32" i="12"/>
  <c r="X33" i="12"/>
  <c r="Y32" i="12"/>
  <c r="X35" i="12"/>
  <c r="Y27" i="12"/>
  <c r="Y25" i="12"/>
  <c r="Z40" i="12"/>
  <c r="Y36" i="12"/>
  <c r="Z25" i="12"/>
  <c r="W38" i="12"/>
  <c r="Z37" i="12"/>
  <c r="Z26" i="12"/>
  <c r="Z29" i="12"/>
  <c r="AG38" i="15"/>
  <c r="AC30" i="15"/>
  <c r="AF41" i="15"/>
  <c r="AE25" i="15"/>
  <c r="AB33" i="15"/>
  <c r="AG35" i="15"/>
  <c r="AE42" i="15"/>
  <c r="AF34" i="15"/>
  <c r="AD40" i="15"/>
  <c r="AG26" i="15"/>
  <c r="AD23" i="15"/>
  <c r="AF31" i="15"/>
  <c r="AG37" i="15"/>
  <c r="AE30" i="15"/>
  <c r="AB31" i="15"/>
  <c r="AG23" i="15"/>
  <c r="AE31" i="15"/>
  <c r="AC40" i="15"/>
  <c r="AD37" i="15"/>
  <c r="AC27" i="15"/>
  <c r="AG30" i="15"/>
  <c r="AD27" i="15"/>
  <c r="AB41" i="15"/>
  <c r="AC38" i="15"/>
  <c r="AF38" i="15"/>
  <c r="AE34" i="15"/>
  <c r="AD32" i="15"/>
  <c r="AC25" i="15"/>
  <c r="AB30" i="15"/>
  <c r="AE40" i="15"/>
  <c r="AF27" i="12" l="1"/>
  <c r="AH24" i="9"/>
  <c r="AN24" i="9" s="1"/>
  <c r="AL25" i="9"/>
  <c r="AR25" i="9" s="1"/>
  <c r="AL26" i="9"/>
  <c r="AR26" i="9" s="1"/>
  <c r="AJ28" i="9"/>
  <c r="AP28" i="9" s="1"/>
  <c r="AJ29" i="9"/>
  <c r="AP29" i="9" s="1"/>
  <c r="AH31" i="9"/>
  <c r="AN31" i="9" s="1"/>
  <c r="AH32" i="9"/>
  <c r="AN32" i="9" s="1"/>
  <c r="AL33" i="9"/>
  <c r="AR33" i="9" s="1"/>
  <c r="AL34" i="9"/>
  <c r="AR34" i="9" s="1"/>
  <c r="AJ36" i="9"/>
  <c r="AP36" i="9" s="1"/>
  <c r="AJ37" i="9"/>
  <c r="AP37" i="9" s="1"/>
  <c r="AH39" i="9"/>
  <c r="AN39" i="9" s="1"/>
  <c r="AH40" i="9"/>
  <c r="AN40" i="9" s="1"/>
  <c r="AL41" i="9"/>
  <c r="AR41" i="9" s="1"/>
  <c r="AI25" i="9"/>
  <c r="AO25" i="9" s="1"/>
  <c r="AK28" i="9"/>
  <c r="AQ28" i="9" s="1"/>
  <c r="AK30" i="9"/>
  <c r="AQ30" i="9" s="1"/>
  <c r="AG34" i="9"/>
  <c r="AM34" i="9" s="1"/>
  <c r="AG36" i="9"/>
  <c r="AM36" i="9" s="1"/>
  <c r="AI39" i="9"/>
  <c r="AO39" i="9" s="1"/>
  <c r="AI41" i="9"/>
  <c r="AO41" i="9" s="1"/>
  <c r="AG27" i="9"/>
  <c r="AM27" i="9" s="1"/>
  <c r="AG29" i="9"/>
  <c r="AM29" i="9" s="1"/>
  <c r="AI32" i="9"/>
  <c r="AO32" i="9" s="1"/>
  <c r="AI34" i="9"/>
  <c r="AO34" i="9" s="1"/>
  <c r="AK37" i="9"/>
  <c r="AQ37" i="9" s="1"/>
  <c r="AK39" i="9"/>
  <c r="AQ39" i="9" s="1"/>
  <c r="AH25" i="9"/>
  <c r="AN25" i="9" s="1"/>
  <c r="AH26" i="9"/>
  <c r="AN26" i="9" s="1"/>
  <c r="AL27" i="9"/>
  <c r="AR27" i="9" s="1"/>
  <c r="AL28" i="9"/>
  <c r="AR28" i="9" s="1"/>
  <c r="AJ30" i="9"/>
  <c r="AP30" i="9" s="1"/>
  <c r="AJ31" i="9"/>
  <c r="AP31" i="9" s="1"/>
  <c r="AH33" i="9"/>
  <c r="AN33" i="9" s="1"/>
  <c r="AH34" i="9"/>
  <c r="AN34" i="9" s="1"/>
  <c r="AL35" i="9"/>
  <c r="AR35" i="9" s="1"/>
  <c r="AL36" i="9"/>
  <c r="AR36" i="9" s="1"/>
  <c r="AJ38" i="9"/>
  <c r="AP38" i="9" s="1"/>
  <c r="AJ39" i="9"/>
  <c r="AP39" i="9" s="1"/>
  <c r="AH41" i="9"/>
  <c r="AN41" i="9" s="1"/>
  <c r="AG24" i="9"/>
  <c r="AM24" i="9" s="1"/>
  <c r="AI27" i="9"/>
  <c r="AO27" i="9" s="1"/>
  <c r="AI29" i="9"/>
  <c r="AO29" i="9" s="1"/>
  <c r="AK32" i="9"/>
  <c r="AQ32" i="9" s="1"/>
  <c r="AK34" i="9"/>
  <c r="AQ34" i="9" s="1"/>
  <c r="AG38" i="9"/>
  <c r="AM38" i="9" s="1"/>
  <c r="AG40" i="9"/>
  <c r="AM40" i="9" s="1"/>
  <c r="AK25" i="9"/>
  <c r="AQ25" i="9" s="1"/>
  <c r="AK27" i="9"/>
  <c r="AQ27" i="9" s="1"/>
  <c r="AG31" i="9"/>
  <c r="AM31" i="9" s="1"/>
  <c r="AG33" i="9"/>
  <c r="AM33" i="9" s="1"/>
  <c r="AI36" i="9"/>
  <c r="AO36" i="9" s="1"/>
  <c r="AI38" i="9"/>
  <c r="AO38" i="9" s="1"/>
  <c r="AK41" i="9"/>
  <c r="AQ41" i="9" s="1"/>
  <c r="AL24" i="9"/>
  <c r="AR24" i="9" s="1"/>
  <c r="AJ26" i="9"/>
  <c r="AP26" i="9" s="1"/>
  <c r="AH30" i="9"/>
  <c r="AN30" i="9" s="1"/>
  <c r="AL31" i="9"/>
  <c r="AR31" i="9" s="1"/>
  <c r="AJ35" i="9"/>
  <c r="AP35" i="9" s="1"/>
  <c r="AH37" i="9"/>
  <c r="AN37" i="9" s="1"/>
  <c r="AL40" i="9"/>
  <c r="AR40" i="9" s="1"/>
  <c r="AK24" i="9"/>
  <c r="AQ24" i="9" s="1"/>
  <c r="AG32" i="9"/>
  <c r="AM32" i="9" s="1"/>
  <c r="AI35" i="9"/>
  <c r="AO35" i="9" s="1"/>
  <c r="AG25" i="9"/>
  <c r="AM25" i="9" s="1"/>
  <c r="AI28" i="9"/>
  <c r="AO28" i="9" s="1"/>
  <c r="AK35" i="9"/>
  <c r="AQ35" i="9" s="1"/>
  <c r="AG39" i="9"/>
  <c r="AM39" i="9" s="1"/>
  <c r="AJ25" i="9"/>
  <c r="AP25" i="9" s="1"/>
  <c r="AJ27" i="9"/>
  <c r="AP27" i="9" s="1"/>
  <c r="AL29" i="9"/>
  <c r="AR29" i="9" s="1"/>
  <c r="AJ32" i="9"/>
  <c r="AP32" i="9" s="1"/>
  <c r="AJ34" i="9"/>
  <c r="AP34" i="9" s="1"/>
  <c r="AG28" i="9"/>
  <c r="AM28" i="9" s="1"/>
  <c r="AI33" i="9"/>
  <c r="AO33" i="9" s="1"/>
  <c r="AI37" i="9"/>
  <c r="AO37" i="9" s="1"/>
  <c r="AI24" i="9"/>
  <c r="AO24" i="9" s="1"/>
  <c r="AK29" i="9"/>
  <c r="AQ29" i="9" s="1"/>
  <c r="AK33" i="9"/>
  <c r="AQ33" i="9" s="1"/>
  <c r="AH29" i="9"/>
  <c r="AN29" i="9" s="1"/>
  <c r="AL32" i="9"/>
  <c r="AR32" i="9" s="1"/>
  <c r="AH36" i="9"/>
  <c r="AN36" i="9" s="1"/>
  <c r="AL38" i="9"/>
  <c r="AR38" i="9" s="1"/>
  <c r="AG30" i="9"/>
  <c r="AM30" i="9" s="1"/>
  <c r="AK36" i="9"/>
  <c r="AQ36" i="9" s="1"/>
  <c r="AI26" i="9"/>
  <c r="AO26" i="9" s="1"/>
  <c r="AK31" i="9"/>
  <c r="AQ31" i="9" s="1"/>
  <c r="AL30" i="9"/>
  <c r="AR30" i="9" s="1"/>
  <c r="AH38" i="9"/>
  <c r="AN38" i="9" s="1"/>
  <c r="AG26" i="9"/>
  <c r="AM26" i="9" s="1"/>
  <c r="AK40" i="9"/>
  <c r="AQ40" i="9" s="1"/>
  <c r="AG41" i="9"/>
  <c r="AM41" i="9" s="1"/>
  <c r="AH27" i="9"/>
  <c r="AN27" i="9" s="1"/>
  <c r="AH35" i="9"/>
  <c r="AN35" i="9" s="1"/>
  <c r="AL39" i="9"/>
  <c r="AR39" i="9" s="1"/>
  <c r="AK26" i="9"/>
  <c r="AQ26" i="9" s="1"/>
  <c r="AG35" i="9"/>
  <c r="AM35" i="9" s="1"/>
  <c r="AJ24" i="9"/>
  <c r="AP24" i="9" s="1"/>
  <c r="AJ33" i="9"/>
  <c r="AP33" i="9" s="1"/>
  <c r="AL37" i="9"/>
  <c r="AR37" i="9" s="1"/>
  <c r="AJ41" i="9"/>
  <c r="AP41" i="9" s="1"/>
  <c r="AI31" i="9"/>
  <c r="AO31" i="9" s="1"/>
  <c r="AI30" i="9"/>
  <c r="AO30" i="9" s="1"/>
  <c r="AI40" i="9"/>
  <c r="AO40" i="9" s="1"/>
  <c r="AH28" i="9"/>
  <c r="AN28" i="9" s="1"/>
  <c r="AJ40" i="9"/>
  <c r="AP40" i="9" s="1"/>
  <c r="AK38" i="9"/>
  <c r="AQ38" i="9" s="1"/>
  <c r="AG37" i="9"/>
  <c r="AM37" i="9" s="1"/>
  <c r="J23" i="4"/>
  <c r="H23" i="4"/>
  <c r="L23" i="4"/>
  <c r="B19" i="14"/>
  <c r="A20" i="14"/>
  <c r="AF26" i="12"/>
  <c r="AE36" i="12"/>
  <c r="AD35" i="12"/>
  <c r="AC39" i="12"/>
  <c r="AB28" i="12"/>
  <c r="AD24" i="12"/>
  <c r="AF33" i="12"/>
  <c r="AA31" i="12"/>
  <c r="AC37" i="12"/>
  <c r="AF38" i="12"/>
  <c r="AB31" i="12"/>
  <c r="AA24" i="12"/>
  <c r="AC30" i="12"/>
  <c r="AF36" i="12"/>
  <c r="AF32" i="12"/>
  <c r="AE28" i="12"/>
  <c r="AD23" i="12"/>
  <c r="AD38" i="12"/>
  <c r="AC32" i="12"/>
  <c r="AF24" i="12"/>
  <c r="AB29" i="12"/>
  <c r="AA28" i="12"/>
  <c r="AE38" i="12"/>
  <c r="AB40" i="12"/>
  <c r="AE23" i="12"/>
  <c r="AC34" i="12"/>
  <c r="B11" i="5" a="1"/>
  <c r="B11" i="5" s="1"/>
  <c r="B10" i="5" s="1"/>
  <c r="AF40" i="12"/>
  <c r="AC31" i="12"/>
  <c r="AC23" i="12"/>
  <c r="AA25" i="12"/>
  <c r="AF28" i="12"/>
  <c r="AD37" i="12"/>
  <c r="AC28" i="12"/>
  <c r="AE40" i="12"/>
  <c r="AD31" i="12"/>
  <c r="AC27" i="12"/>
  <c r="AC24" i="12"/>
  <c r="AA35" i="12"/>
  <c r="AB30" i="12"/>
  <c r="AE30" i="12"/>
  <c r="AB26" i="12"/>
  <c r="AB27" i="12"/>
  <c r="AC26" i="12"/>
  <c r="AA37" i="12"/>
  <c r="M22" i="4"/>
  <c r="O22" i="4" s="1"/>
  <c r="AC38" i="12"/>
  <c r="AE25" i="12"/>
  <c r="AD33" i="12"/>
  <c r="AC36" i="12"/>
  <c r="AA23" i="12"/>
  <c r="AC29" i="12"/>
  <c r="AE35" i="12"/>
  <c r="AE24" i="12"/>
  <c r="AD26" i="12"/>
  <c r="AF39" i="12"/>
  <c r="AA30" i="12"/>
  <c r="AA39" i="12"/>
  <c r="AF30" i="12"/>
  <c r="AB39" i="12"/>
  <c r="AC35" i="12"/>
  <c r="AD30" i="12"/>
  <c r="AA26" i="12"/>
  <c r="AD28" i="12"/>
  <c r="AA27" i="12"/>
  <c r="AE37" i="12"/>
  <c r="AB36" i="12"/>
  <c r="AD40" i="12"/>
  <c r="AC33" i="12"/>
  <c r="AD27" i="12"/>
  <c r="AF31" i="12"/>
  <c r="AA29" i="12"/>
  <c r="AE39" i="12"/>
  <c r="C10" i="5"/>
  <c r="A25" i="4"/>
  <c r="K24" i="4"/>
  <c r="G24" i="4"/>
  <c r="I24" i="4"/>
  <c r="B24" i="4"/>
  <c r="D10" i="5"/>
  <c r="AI23" i="15"/>
  <c r="AO23" i="15" s="1"/>
  <c r="AI24" i="15"/>
  <c r="AO24" i="15" s="1"/>
  <c r="AM25" i="15"/>
  <c r="AS25" i="15" s="1"/>
  <c r="AM26" i="15"/>
  <c r="AS26" i="15" s="1"/>
  <c r="AK28" i="15"/>
  <c r="AQ28" i="15" s="1"/>
  <c r="AK29" i="15"/>
  <c r="AQ29" i="15" s="1"/>
  <c r="AI31" i="15"/>
  <c r="AO31" i="15" s="1"/>
  <c r="AI32" i="15"/>
  <c r="AO32" i="15" s="1"/>
  <c r="AM33" i="15"/>
  <c r="AS33" i="15" s="1"/>
  <c r="AM34" i="15"/>
  <c r="AS34" i="15" s="1"/>
  <c r="AK36" i="15"/>
  <c r="AQ36" i="15" s="1"/>
  <c r="AK37" i="15"/>
  <c r="AQ37" i="15" s="1"/>
  <c r="AI39" i="15"/>
  <c r="AO39" i="15" s="1"/>
  <c r="AI40" i="15"/>
  <c r="AO40" i="15" s="1"/>
  <c r="AM41" i="15"/>
  <c r="AS41" i="15" s="1"/>
  <c r="AM42" i="15"/>
  <c r="AS42" i="15" s="1"/>
  <c r="AH26" i="15"/>
  <c r="AN26" i="15" s="1"/>
  <c r="AH28" i="15"/>
  <c r="AN28" i="15" s="1"/>
  <c r="AJ31" i="15"/>
  <c r="AP31" i="15" s="1"/>
  <c r="AJ33" i="15"/>
  <c r="AP33" i="15" s="1"/>
  <c r="AL36" i="15"/>
  <c r="AR36" i="15" s="1"/>
  <c r="AL38" i="15"/>
  <c r="AR38" i="15" s="1"/>
  <c r="AK23" i="15"/>
  <c r="AQ23" i="15" s="1"/>
  <c r="AI25" i="15"/>
  <c r="AO25" i="15" s="1"/>
  <c r="AI26" i="15"/>
  <c r="AO26" i="15" s="1"/>
  <c r="AM27" i="15"/>
  <c r="AS27" i="15" s="1"/>
  <c r="AM28" i="15"/>
  <c r="AS28" i="15" s="1"/>
  <c r="AK30" i="15"/>
  <c r="AQ30" i="15" s="1"/>
  <c r="AK31" i="15"/>
  <c r="AQ31" i="15" s="1"/>
  <c r="AI33" i="15"/>
  <c r="AO33" i="15" s="1"/>
  <c r="AI34" i="15"/>
  <c r="AO34" i="15" s="1"/>
  <c r="AM35" i="15"/>
  <c r="AS35" i="15" s="1"/>
  <c r="AM36" i="15"/>
  <c r="AS36" i="15" s="1"/>
  <c r="AK38" i="15"/>
  <c r="AQ38" i="15" s="1"/>
  <c r="AK39" i="15"/>
  <c r="AQ39" i="15" s="1"/>
  <c r="AI41" i="15"/>
  <c r="AO41" i="15" s="1"/>
  <c r="AI42" i="15"/>
  <c r="AO42" i="15" s="1"/>
  <c r="AL24" i="15"/>
  <c r="AR24" i="15" s="1"/>
  <c r="AL26" i="15"/>
  <c r="AR26" i="15" s="1"/>
  <c r="AH30" i="15"/>
  <c r="AN30" i="15" s="1"/>
  <c r="AH32" i="15"/>
  <c r="AN32" i="15" s="1"/>
  <c r="AJ35" i="15"/>
  <c r="AP35" i="15" s="1"/>
  <c r="AJ37" i="15"/>
  <c r="AP37" i="15" s="1"/>
  <c r="AL40" i="15"/>
  <c r="AR40" i="15" s="1"/>
  <c r="AH42" i="15"/>
  <c r="AN42" i="15" s="1"/>
  <c r="AH23" i="15"/>
  <c r="AN23" i="15" s="1"/>
  <c r="AJ24" i="15"/>
  <c r="AP24" i="15" s="1"/>
  <c r="AL25" i="15"/>
  <c r="AR25" i="15" s="1"/>
  <c r="AH27" i="15"/>
  <c r="AN27" i="15" s="1"/>
  <c r="AJ28" i="15"/>
  <c r="AP28" i="15" s="1"/>
  <c r="AL29" i="15"/>
  <c r="AR29" i="15" s="1"/>
  <c r="AH31" i="15"/>
  <c r="AN31" i="15" s="1"/>
  <c r="AJ32" i="15"/>
  <c r="AP32" i="15" s="1"/>
  <c r="AL33" i="15"/>
  <c r="AR33" i="15" s="1"/>
  <c r="AH35" i="15"/>
  <c r="AN35" i="15" s="1"/>
  <c r="AJ36" i="15"/>
  <c r="AP36" i="15" s="1"/>
  <c r="AL37" i="15"/>
  <c r="AR37" i="15" s="1"/>
  <c r="AH39" i="15"/>
  <c r="AN39" i="15" s="1"/>
  <c r="AJ40" i="15"/>
  <c r="AP40" i="15" s="1"/>
  <c r="AL41" i="15"/>
  <c r="AR41" i="15" s="1"/>
  <c r="AK25" i="15"/>
  <c r="AQ25" i="15" s="1"/>
  <c r="AI27" i="15"/>
  <c r="AO27" i="15" s="1"/>
  <c r="AM30" i="15"/>
  <c r="AS30" i="15" s="1"/>
  <c r="AK32" i="15"/>
  <c r="AQ32" i="15" s="1"/>
  <c r="AI36" i="15"/>
  <c r="AO36" i="15" s="1"/>
  <c r="AM37" i="15"/>
  <c r="AS37" i="15" s="1"/>
  <c r="AK41" i="15"/>
  <c r="AQ41" i="15" s="1"/>
  <c r="AJ23" i="15"/>
  <c r="AP23" i="15" s="1"/>
  <c r="AL30" i="15"/>
  <c r="AR30" i="15" s="1"/>
  <c r="AH34" i="15"/>
  <c r="AN34" i="15" s="1"/>
  <c r="AI28" i="15"/>
  <c r="AO28" i="15" s="1"/>
  <c r="AI30" i="15"/>
  <c r="AO30" i="15" s="1"/>
  <c r="AM32" i="15"/>
  <c r="AS32" i="15" s="1"/>
  <c r="AI35" i="15"/>
  <c r="AO35" i="15" s="1"/>
  <c r="AI37" i="15"/>
  <c r="AO37" i="15" s="1"/>
  <c r="AM39" i="15"/>
  <c r="AS39" i="15" s="1"/>
  <c r="AH36" i="15"/>
  <c r="AN36" i="15" s="1"/>
  <c r="AH40" i="15"/>
  <c r="AN40" i="15" s="1"/>
  <c r="AL23" i="15"/>
  <c r="AR23" i="15" s="1"/>
  <c r="AJ30" i="15"/>
  <c r="AP30" i="15" s="1"/>
  <c r="AJ34" i="15"/>
  <c r="AP34" i="15" s="1"/>
  <c r="AH41" i="15"/>
  <c r="AN41" i="15" s="1"/>
  <c r="AM23" i="15"/>
  <c r="AS23" i="15" s="1"/>
  <c r="AK26" i="15"/>
  <c r="AQ26" i="15" s="1"/>
  <c r="AM29" i="15"/>
  <c r="AS29" i="15" s="1"/>
  <c r="AK33" i="15"/>
  <c r="AQ33" i="15" s="1"/>
  <c r="AK42" i="15"/>
  <c r="AQ42" i="15" s="1"/>
  <c r="AL28" i="15"/>
  <c r="AR28" i="15" s="1"/>
  <c r="AL34" i="15"/>
  <c r="AR34" i="15" s="1"/>
  <c r="AJ41" i="15"/>
  <c r="AP41" i="15" s="1"/>
  <c r="AH25" i="15"/>
  <c r="AN25" i="15" s="1"/>
  <c r="AL39" i="15"/>
  <c r="AR39" i="15" s="1"/>
  <c r="AK24" i="15"/>
  <c r="AQ24" i="15" s="1"/>
  <c r="AK27" i="15"/>
  <c r="AQ27" i="15" s="1"/>
  <c r="AK40" i="15"/>
  <c r="AQ40" i="15" s="1"/>
  <c r="AH24" i="15"/>
  <c r="AN24" i="15" s="1"/>
  <c r="AJ29" i="15"/>
  <c r="AP29" i="15" s="1"/>
  <c r="AJ26" i="15"/>
  <c r="AP26" i="15" s="1"/>
  <c r="AL31" i="15"/>
  <c r="AR31" i="15" s="1"/>
  <c r="AL35" i="15"/>
  <c r="AR35" i="15" s="1"/>
  <c r="AI29" i="15"/>
  <c r="AO29" i="15" s="1"/>
  <c r="AM31" i="15"/>
  <c r="AS31" i="15" s="1"/>
  <c r="AK35" i="15"/>
  <c r="AQ35" i="15" s="1"/>
  <c r="AM38" i="15"/>
  <c r="AS38" i="15" s="1"/>
  <c r="AJ27" i="15"/>
  <c r="AP27" i="15" s="1"/>
  <c r="AJ39" i="15"/>
  <c r="AP39" i="15" s="1"/>
  <c r="AH33" i="15"/>
  <c r="AN33" i="15" s="1"/>
  <c r="AJ38" i="15"/>
  <c r="AP38" i="15" s="1"/>
  <c r="AM24" i="15"/>
  <c r="AS24" i="15" s="1"/>
  <c r="AK34" i="15"/>
  <c r="AQ34" i="15" s="1"/>
  <c r="AI38" i="15"/>
  <c r="AO38" i="15" s="1"/>
  <c r="AM40" i="15"/>
  <c r="AS40" i="15" s="1"/>
  <c r="AJ25" i="15"/>
  <c r="AP25" i="15" s="1"/>
  <c r="AH38" i="15"/>
  <c r="AN38" i="15" s="1"/>
  <c r="AL42" i="15"/>
  <c r="AR42" i="15" s="1"/>
  <c r="AL27" i="15"/>
  <c r="AR27" i="15" s="1"/>
  <c r="AH37" i="15"/>
  <c r="AN37" i="15" s="1"/>
  <c r="AJ42" i="15"/>
  <c r="AP42" i="15" s="1"/>
  <c r="AL32" i="15"/>
  <c r="AR32" i="15" s="1"/>
  <c r="AH29" i="15"/>
  <c r="AN29" i="15" s="1"/>
  <c r="AF37" i="12"/>
  <c r="AE32" i="12"/>
  <c r="AD32" i="12"/>
  <c r="AB32" i="12"/>
  <c r="AF34" i="12"/>
  <c r="AE34" i="12"/>
  <c r="AD36" i="12"/>
  <c r="AB23" i="12"/>
  <c r="AB35" i="12"/>
  <c r="AF29" i="12"/>
  <c r="AF25" i="12"/>
  <c r="AE27" i="12"/>
  <c r="AA32" i="12"/>
  <c r="AB24" i="12"/>
  <c r="AE33" i="12"/>
  <c r="AA40" i="12"/>
  <c r="AA38" i="12"/>
  <c r="AF35" i="12"/>
  <c r="AE26" i="12"/>
  <c r="AA33" i="12"/>
  <c r="AD25" i="12"/>
  <c r="AD39" i="12"/>
  <c r="AD34" i="12"/>
  <c r="AB38" i="12"/>
  <c r="AA34" i="12"/>
  <c r="AD29" i="12"/>
  <c r="AB25" i="12"/>
  <c r="AB33" i="12"/>
  <c r="AE29" i="12"/>
  <c r="AC40" i="12"/>
  <c r="AF23" i="12"/>
  <c r="AC25" i="12"/>
  <c r="AA36" i="12"/>
  <c r="AB34" i="12"/>
  <c r="AB37" i="12"/>
  <c r="AE31" i="12"/>
  <c r="G17" i="14"/>
  <c r="K23" i="4"/>
  <c r="I23" i="4"/>
  <c r="C18" i="14"/>
  <c r="E18" i="14" s="1"/>
  <c r="G18" i="14" s="1"/>
  <c r="F18" i="14"/>
  <c r="C19" i="14" l="1"/>
  <c r="E19" i="14" s="1"/>
  <c r="M23" i="4"/>
  <c r="O23" i="4" s="1"/>
  <c r="C51" i="15" a="1"/>
  <c r="C51" i="15" s="1"/>
  <c r="D19" i="14"/>
  <c r="F19" i="14" s="1"/>
  <c r="E50" i="9" a="1"/>
  <c r="E50" i="9" s="1"/>
  <c r="F50" i="9" a="1"/>
  <c r="F50" i="9" s="1"/>
  <c r="E51" i="15" a="1"/>
  <c r="E51" i="15" s="1"/>
  <c r="D51" i="15" a="1"/>
  <c r="D51" i="15" s="1"/>
  <c r="AG23" i="12" a="1"/>
  <c r="F10" i="5"/>
  <c r="E10" i="5"/>
  <c r="A21" i="14"/>
  <c r="D20" i="14"/>
  <c r="B20" i="14"/>
  <c r="D50" i="9" a="1"/>
  <c r="D50" i="9" s="1"/>
  <c r="B50" i="9" a="1"/>
  <c r="B50" i="9" s="1"/>
  <c r="C50" i="9" a="1"/>
  <c r="C50" i="9" s="1"/>
  <c r="E52" i="15" a="1"/>
  <c r="E52" i="15" s="1"/>
  <c r="E22" i="15" s="1"/>
  <c r="G52" i="15" a="1"/>
  <c r="G52" i="15" s="1"/>
  <c r="C52" i="15" a="1"/>
  <c r="C52" i="15" s="1"/>
  <c r="C22" i="15" s="1"/>
  <c r="D52" i="15" a="1"/>
  <c r="D52" i="15" s="1"/>
  <c r="D22" i="15" s="1"/>
  <c r="F52" i="15" a="1"/>
  <c r="F52" i="15" s="1"/>
  <c r="G51" i="15" a="1"/>
  <c r="G51" i="15" s="1"/>
  <c r="F51" i="15" a="1"/>
  <c r="F51" i="15" s="1"/>
  <c r="J24" i="4"/>
  <c r="L24" i="4"/>
  <c r="N24" i="4" s="1"/>
  <c r="P24" i="4" s="1"/>
  <c r="H24" i="4"/>
  <c r="I25" i="4"/>
  <c r="B25" i="4"/>
  <c r="A26" i="4"/>
  <c r="K25" i="4"/>
  <c r="N23" i="4"/>
  <c r="P23" i="4" s="1"/>
  <c r="F51" i="9" a="1"/>
  <c r="F51" i="9" s="1"/>
  <c r="E51" i="9" a="1"/>
  <c r="E51" i="9" s="1"/>
  <c r="C51" i="9" a="1"/>
  <c r="C51" i="9" s="1"/>
  <c r="D51" i="9" a="1"/>
  <c r="D51" i="9" s="1"/>
  <c r="B51" i="9" a="1"/>
  <c r="B51" i="9" s="1"/>
  <c r="B23" i="9" l="1"/>
  <c r="C23" i="9"/>
  <c r="E23" i="9"/>
  <c r="F23" i="9"/>
  <c r="B26" i="4"/>
  <c r="G26" i="4"/>
  <c r="A27" i="4"/>
  <c r="G22" i="15"/>
  <c r="F20" i="14"/>
  <c r="C20" i="14"/>
  <c r="E20" i="14" s="1"/>
  <c r="AJ23" i="12"/>
  <c r="AP23" i="12" s="1"/>
  <c r="AH24" i="12"/>
  <c r="AN24" i="12" s="1"/>
  <c r="AL24" i="12"/>
  <c r="AR24" i="12" s="1"/>
  <c r="AJ25" i="12"/>
  <c r="AP25" i="12" s="1"/>
  <c r="AH26" i="12"/>
  <c r="AN26" i="12" s="1"/>
  <c r="AL26" i="12"/>
  <c r="AR26" i="12" s="1"/>
  <c r="AJ27" i="12"/>
  <c r="AP27" i="12" s="1"/>
  <c r="AH28" i="12"/>
  <c r="AN28" i="12" s="1"/>
  <c r="AL28" i="12"/>
  <c r="AR28" i="12" s="1"/>
  <c r="AJ29" i="12"/>
  <c r="AP29" i="12" s="1"/>
  <c r="AH30" i="12"/>
  <c r="AN30" i="12" s="1"/>
  <c r="AL30" i="12"/>
  <c r="AR30" i="12" s="1"/>
  <c r="AJ31" i="12"/>
  <c r="AP31" i="12" s="1"/>
  <c r="AH32" i="12"/>
  <c r="AN32" i="12" s="1"/>
  <c r="AL32" i="12"/>
  <c r="AR32" i="12" s="1"/>
  <c r="AJ33" i="12"/>
  <c r="AP33" i="12" s="1"/>
  <c r="AH34" i="12"/>
  <c r="AN34" i="12" s="1"/>
  <c r="AL34" i="12"/>
  <c r="AR34" i="12" s="1"/>
  <c r="AJ35" i="12"/>
  <c r="AP35" i="12" s="1"/>
  <c r="AH36" i="12"/>
  <c r="AN36" i="12" s="1"/>
  <c r="AL36" i="12"/>
  <c r="AR36" i="12" s="1"/>
  <c r="AJ37" i="12"/>
  <c r="AP37" i="12" s="1"/>
  <c r="AH38" i="12"/>
  <c r="AN38" i="12" s="1"/>
  <c r="AL38" i="12"/>
  <c r="AR38" i="12" s="1"/>
  <c r="AJ39" i="12"/>
  <c r="AP39" i="12" s="1"/>
  <c r="AH40" i="12"/>
  <c r="AN40" i="12" s="1"/>
  <c r="AL40" i="12"/>
  <c r="AR40" i="12" s="1"/>
  <c r="AK23" i="12"/>
  <c r="AQ23" i="12" s="1"/>
  <c r="AG25" i="12"/>
  <c r="AM25" i="12" s="1"/>
  <c r="AI26" i="12"/>
  <c r="AO26" i="12" s="1"/>
  <c r="AK27" i="12"/>
  <c r="AQ27" i="12" s="1"/>
  <c r="AG29" i="12"/>
  <c r="AM29" i="12" s="1"/>
  <c r="AI30" i="12"/>
  <c r="AO30" i="12" s="1"/>
  <c r="AK31" i="12"/>
  <c r="AQ31" i="12" s="1"/>
  <c r="AG33" i="12"/>
  <c r="AM33" i="12" s="1"/>
  <c r="AI34" i="12"/>
  <c r="AO34" i="12" s="1"/>
  <c r="AK35" i="12"/>
  <c r="AQ35" i="12" s="1"/>
  <c r="AG37" i="12"/>
  <c r="AM37" i="12" s="1"/>
  <c r="AI38" i="12"/>
  <c r="AO38" i="12" s="1"/>
  <c r="AK39" i="12"/>
  <c r="AQ39" i="12" s="1"/>
  <c r="AI23" i="12"/>
  <c r="AO23" i="12" s="1"/>
  <c r="AK24" i="12"/>
  <c r="AQ24" i="12" s="1"/>
  <c r="AG26" i="12"/>
  <c r="AM26" i="12" s="1"/>
  <c r="AI27" i="12"/>
  <c r="AO27" i="12" s="1"/>
  <c r="AK28" i="12"/>
  <c r="AQ28" i="12" s="1"/>
  <c r="AG30" i="12"/>
  <c r="AM30" i="12" s="1"/>
  <c r="AG32" i="12"/>
  <c r="AM32" i="12" s="1"/>
  <c r="AI33" i="12"/>
  <c r="AO33" i="12" s="1"/>
  <c r="AK34" i="12"/>
  <c r="AQ34" i="12" s="1"/>
  <c r="AG36" i="12"/>
  <c r="AM36" i="12" s="1"/>
  <c r="AI37" i="12"/>
  <c r="AO37" i="12" s="1"/>
  <c r="AK38" i="12"/>
  <c r="AQ38" i="12" s="1"/>
  <c r="AG40" i="12"/>
  <c r="AM40" i="12" s="1"/>
  <c r="AK40" i="12"/>
  <c r="AQ40" i="12" s="1"/>
  <c r="AH23" i="12"/>
  <c r="AN23" i="12" s="1"/>
  <c r="AJ24" i="12"/>
  <c r="AP24" i="12" s="1"/>
  <c r="AL25" i="12"/>
  <c r="AR25" i="12" s="1"/>
  <c r="AH27" i="12"/>
  <c r="AN27" i="12" s="1"/>
  <c r="AJ28" i="12"/>
  <c r="AP28" i="12" s="1"/>
  <c r="AL29" i="12"/>
  <c r="AR29" i="12" s="1"/>
  <c r="AH31" i="12"/>
  <c r="AN31" i="12" s="1"/>
  <c r="AJ32" i="12"/>
  <c r="AP32" i="12" s="1"/>
  <c r="AL33" i="12"/>
  <c r="AR33" i="12" s="1"/>
  <c r="AH35" i="12"/>
  <c r="AN35" i="12" s="1"/>
  <c r="AJ36" i="12"/>
  <c r="AP36" i="12" s="1"/>
  <c r="AL37" i="12"/>
  <c r="AR37" i="12" s="1"/>
  <c r="AH39" i="12"/>
  <c r="AN39" i="12" s="1"/>
  <c r="AJ40" i="12"/>
  <c r="AP40" i="12" s="1"/>
  <c r="AI24" i="12"/>
  <c r="AO24" i="12" s="1"/>
  <c r="AG27" i="12"/>
  <c r="AM27" i="12" s="1"/>
  <c r="AK29" i="12"/>
  <c r="AQ29" i="12" s="1"/>
  <c r="AI32" i="12"/>
  <c r="AO32" i="12" s="1"/>
  <c r="AG35" i="12"/>
  <c r="AM35" i="12" s="1"/>
  <c r="AK37" i="12"/>
  <c r="AQ37" i="12" s="1"/>
  <c r="AI40" i="12"/>
  <c r="AO40" i="12" s="1"/>
  <c r="AI25" i="12"/>
  <c r="AO25" i="12" s="1"/>
  <c r="AG28" i="12"/>
  <c r="AM28" i="12" s="1"/>
  <c r="AK30" i="12"/>
  <c r="AQ30" i="12" s="1"/>
  <c r="AG34" i="12"/>
  <c r="AM34" i="12" s="1"/>
  <c r="AK36" i="12"/>
  <c r="AQ36" i="12" s="1"/>
  <c r="AI39" i="12"/>
  <c r="AO39" i="12" s="1"/>
  <c r="AH25" i="12"/>
  <c r="AN25" i="12" s="1"/>
  <c r="AJ30" i="12"/>
  <c r="AP30" i="12" s="1"/>
  <c r="AL35" i="12"/>
  <c r="AR35" i="12" s="1"/>
  <c r="AG23" i="12"/>
  <c r="AM23" i="12" s="1"/>
  <c r="AK33" i="12"/>
  <c r="AQ33" i="12" s="1"/>
  <c r="AK26" i="12"/>
  <c r="AQ26" i="12" s="1"/>
  <c r="AG38" i="12"/>
  <c r="AM38" i="12" s="1"/>
  <c r="AL27" i="12"/>
  <c r="AR27" i="12" s="1"/>
  <c r="AH37" i="12"/>
  <c r="AN37" i="12" s="1"/>
  <c r="AL39" i="12"/>
  <c r="AR39" i="12" s="1"/>
  <c r="AG39" i="12"/>
  <c r="AM39" i="12" s="1"/>
  <c r="AI31" i="12"/>
  <c r="AO31" i="12" s="1"/>
  <c r="AL23" i="12"/>
  <c r="AR23" i="12" s="1"/>
  <c r="AH33" i="12"/>
  <c r="AN33" i="12" s="1"/>
  <c r="AK25" i="12"/>
  <c r="AQ25" i="12" s="1"/>
  <c r="AG31" i="12"/>
  <c r="AM31" i="12" s="1"/>
  <c r="AK32" i="12"/>
  <c r="AQ32" i="12" s="1"/>
  <c r="AJ34" i="12"/>
  <c r="AP34" i="12" s="1"/>
  <c r="AI35" i="12"/>
  <c r="AO35" i="12" s="1"/>
  <c r="AJ26" i="12"/>
  <c r="AP26" i="12" s="1"/>
  <c r="AH29" i="12"/>
  <c r="AN29" i="12" s="1"/>
  <c r="AJ38" i="12"/>
  <c r="AP38" i="12" s="1"/>
  <c r="AI36" i="12"/>
  <c r="AO36" i="12" s="1"/>
  <c r="AG24" i="12"/>
  <c r="AM24" i="12" s="1"/>
  <c r="AL31" i="12"/>
  <c r="AR31" i="12" s="1"/>
  <c r="AI28" i="12"/>
  <c r="AO28" i="12" s="1"/>
  <c r="AI29" i="12"/>
  <c r="AO29" i="12" s="1"/>
  <c r="G19" i="14"/>
  <c r="L25" i="4"/>
  <c r="J25" i="4"/>
  <c r="H25" i="4"/>
  <c r="F22" i="15"/>
  <c r="C9" i="15" s="1" a="1"/>
  <c r="C9" i="15" s="1"/>
  <c r="D23" i="9"/>
  <c r="G25" i="4"/>
  <c r="M25" i="4" s="1"/>
  <c r="O25" i="4" s="1"/>
  <c r="M24" i="4"/>
  <c r="O24" i="4" s="1"/>
  <c r="A22" i="14"/>
  <c r="B21" i="14"/>
  <c r="D17" i="15" l="1"/>
  <c r="C17" i="15"/>
  <c r="E17" i="15"/>
  <c r="D49" i="12" a="1"/>
  <c r="D49" i="12" s="1"/>
  <c r="F49" i="12" a="1"/>
  <c r="F49" i="12" s="1"/>
  <c r="G17" i="15"/>
  <c r="J26" i="4"/>
  <c r="L26" i="4"/>
  <c r="H26" i="4"/>
  <c r="C21" i="14"/>
  <c r="E21" i="14" s="1"/>
  <c r="B22" i="14"/>
  <c r="D22" i="14"/>
  <c r="A23" i="14"/>
  <c r="C49" i="12" a="1"/>
  <c r="C49" i="12" s="1"/>
  <c r="B10" i="9" a="1"/>
  <c r="B10" i="9" s="1"/>
  <c r="I27" i="4"/>
  <c r="B27" i="4"/>
  <c r="K27" i="4"/>
  <c r="G27" i="4"/>
  <c r="A28" i="4"/>
  <c r="K26" i="4"/>
  <c r="B49" i="12" a="1"/>
  <c r="B49" i="12" s="1"/>
  <c r="E49" i="12" a="1"/>
  <c r="E49" i="12" s="1"/>
  <c r="D21" i="14"/>
  <c r="F21" i="14" s="1"/>
  <c r="N25" i="4"/>
  <c r="P25" i="4" s="1"/>
  <c r="F17" i="15"/>
  <c r="B50" i="12" a="1"/>
  <c r="B50" i="12" s="1"/>
  <c r="F50" i="12" a="1"/>
  <c r="F50" i="12" s="1"/>
  <c r="E50" i="12" a="1"/>
  <c r="E50" i="12" s="1"/>
  <c r="C50" i="12" a="1"/>
  <c r="C50" i="12" s="1"/>
  <c r="D50" i="12" a="1"/>
  <c r="D50" i="12" s="1"/>
  <c r="G20" i="14"/>
  <c r="I26" i="4"/>
  <c r="C22" i="12" l="1"/>
  <c r="B22" i="12"/>
  <c r="F22" i="12"/>
  <c r="E22" i="12"/>
  <c r="G21" i="14"/>
  <c r="D22" i="12"/>
  <c r="B9" i="12" a="1"/>
  <c r="C18" i="9"/>
  <c r="C17" i="12" s="1"/>
  <c r="E18" i="9"/>
  <c r="E17" i="12" s="1"/>
  <c r="F18" i="9"/>
  <c r="F17" i="12" s="1"/>
  <c r="B18" i="9"/>
  <c r="B17" i="12" s="1"/>
  <c r="F22" i="14"/>
  <c r="C22" i="14"/>
  <c r="E22" i="14" s="1"/>
  <c r="B28" i="4"/>
  <c r="K28" i="4"/>
  <c r="A29" i="4"/>
  <c r="G28" i="4"/>
  <c r="I28" i="4"/>
  <c r="M26" i="4"/>
  <c r="O26" i="4" s="1"/>
  <c r="H27" i="4"/>
  <c r="L27" i="4"/>
  <c r="J27" i="4"/>
  <c r="M27" i="4" s="1"/>
  <c r="O27" i="4" s="1"/>
  <c r="B23" i="14"/>
  <c r="A24" i="14"/>
  <c r="D23" i="14"/>
  <c r="N26" i="4"/>
  <c r="P26" i="4" s="1"/>
  <c r="D18" i="9"/>
  <c r="D17" i="12" s="1"/>
  <c r="B9" i="12" l="1"/>
  <c r="B29" i="4"/>
  <c r="G29" i="4"/>
  <c r="K29" i="4"/>
  <c r="A30" i="4"/>
  <c r="I29" i="4"/>
  <c r="D24" i="14"/>
  <c r="A25" i="14"/>
  <c r="B24" i="14"/>
  <c r="N27" i="4"/>
  <c r="P27" i="4" s="1"/>
  <c r="L28" i="4"/>
  <c r="H28" i="4"/>
  <c r="J28" i="4"/>
  <c r="C23" i="14"/>
  <c r="E23" i="14" s="1"/>
  <c r="G23" i="14" s="1"/>
  <c r="F23" i="14"/>
  <c r="G22" i="14"/>
  <c r="C24" i="14" l="1"/>
  <c r="E24" i="14" s="1"/>
  <c r="F24" i="14"/>
  <c r="J29" i="4"/>
  <c r="M29" i="4" s="1"/>
  <c r="O29" i="4" s="1"/>
  <c r="H29" i="4"/>
  <c r="L29" i="4"/>
  <c r="N28" i="4"/>
  <c r="P28" i="4" s="1"/>
  <c r="A26" i="14"/>
  <c r="B25" i="14"/>
  <c r="D25" i="14" s="1"/>
  <c r="B30" i="4"/>
  <c r="K30" i="4"/>
  <c r="I30" i="4"/>
  <c r="M28" i="4"/>
  <c r="O28" i="4" s="1"/>
  <c r="H30" i="4" l="1"/>
  <c r="J30" i="4"/>
  <c r="L30" i="4"/>
  <c r="N29" i="4"/>
  <c r="P29" i="4" s="1"/>
  <c r="G30" i="4"/>
  <c r="M30" i="4" s="1"/>
  <c r="O30" i="4" s="1"/>
  <c r="B26" i="14"/>
  <c r="D26" i="14"/>
  <c r="A27" i="14"/>
  <c r="C25" i="14"/>
  <c r="E25" i="14" s="1"/>
  <c r="F25" i="14"/>
  <c r="G24" i="14"/>
  <c r="G25" i="14" l="1"/>
  <c r="N30" i="4"/>
  <c r="P30" i="4" s="1"/>
  <c r="C26" i="14"/>
  <c r="E26" i="14" s="1"/>
  <c r="F26" i="14"/>
  <c r="B27" i="14"/>
  <c r="D27" i="14"/>
  <c r="A28" i="14"/>
  <c r="A29" i="14" l="1"/>
  <c r="B28" i="14"/>
  <c r="D28" i="14"/>
  <c r="G26" i="14"/>
  <c r="C27" i="14"/>
  <c r="E27" i="14" s="1"/>
  <c r="F27" i="14"/>
  <c r="G27" i="14" l="1"/>
  <c r="C28" i="14"/>
  <c r="E28" i="14" s="1"/>
  <c r="F28" i="14"/>
  <c r="B29" i="14"/>
  <c r="A30" i="14"/>
  <c r="B30" i="14" l="1"/>
  <c r="D30" i="14"/>
  <c r="C29" i="14"/>
  <c r="E29" i="14" s="1"/>
  <c r="D29" i="14"/>
  <c r="F29" i="14" s="1"/>
  <c r="G28" i="14"/>
  <c r="G29" i="14" l="1"/>
  <c r="F30" i="14"/>
  <c r="C30" i="14"/>
  <c r="E30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P31" authorId="0" shapeId="0" xr:uid="{00000000-0006-0000-0200-000001000000}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 shapeId="0" xr:uid="{00000000-0006-0000-0200-000002000000}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 shapeId="0" xr:uid="{00000000-0006-0000-0200-000003000000}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 shapeId="0" xr:uid="{00000000-0006-0000-0200-000004000000}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 shapeId="0" xr:uid="{00000000-0006-0000-0200-000005000000}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C9" authorId="0" shapeId="0" xr:uid="{00000000-0006-0000-0700-000001000000}">
      <text>
        <r>
          <rPr>
            <sz val="8"/>
            <color indexed="81"/>
            <rFont val="Tahoma"/>
            <family val="2"/>
          </rPr>
          <t>As distributed, this cell has a formula to calculate the bubble pressure.</t>
        </r>
      </text>
    </comment>
    <comment ref="G13" authorId="0" shapeId="0" xr:uid="{00000000-0006-0000-0700-000002000000}">
      <text>
        <r>
          <rPr>
            <sz val="8"/>
            <color indexed="81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 shapeId="0" xr:uid="{00000000-0006-0000-0700-000003000000}">
      <text>
        <r>
          <rPr>
            <sz val="8"/>
            <color indexed="81"/>
            <rFont val="Tahoma"/>
            <family val="2"/>
          </rPr>
          <t>Vapor phase mole fractions calculated automatically.</t>
        </r>
      </text>
    </comment>
    <comment ref="G21" authorId="0" shapeId="0" xr:uid="{00000000-0006-0000-0700-000004000000}">
      <text>
        <r>
          <rPr>
            <sz val="8"/>
            <color indexed="81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 shapeId="0" xr:uid="{00000000-0006-0000-0700-000005000000}">
      <text>
        <r>
          <rPr>
            <sz val="8"/>
            <color indexed="81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 shapeId="0" xr:uid="{00000000-0006-0000-0700-000006000000}">
      <text>
        <r>
          <rPr>
            <sz val="8"/>
            <color indexed="81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indexed="81"/>
            <rFont val="Tahoma"/>
            <family val="2"/>
          </rPr>
          <t>are treated as zero if unavailable</t>
        </r>
        <r>
          <rPr>
            <sz val="8"/>
            <color indexed="81"/>
            <rFont val="Tahoma"/>
            <family val="2"/>
          </rPr>
          <t>. Check Table 1 on sheet "aij-UNIFAC (VLE)".</t>
        </r>
      </text>
    </comment>
    <comment ref="G45" authorId="0" shapeId="0" xr:uid="{00000000-0006-0000-0700-000007000000}">
      <text>
        <r>
          <rPr>
            <sz val="8"/>
            <color indexed="81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AU8" authorId="0" shapeId="0" xr:uid="{00000000-0006-0000-0900-000001000000}">
      <text>
        <r>
          <rPr>
            <sz val="8"/>
            <color rgb="FF000000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<sst xmlns="http://schemas.openxmlformats.org/spreadsheetml/2006/main" count="554" uniqueCount="351">
  <si>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</si>
  <si>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</si>
  <si>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</si>
  <si>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</si>
  <si>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</si>
  <si>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</si>
  <si>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</si>
  <si>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</si>
  <si>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</si>
  <si>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</si>
  <si>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</si>
  <si>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</si>
  <si>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</si>
  <si>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</si>
  <si>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</si>
  <si>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</si>
  <si>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</si>
  <si>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</si>
  <si>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</si>
  <si>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</si>
  <si>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</si>
  <si>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</si>
  <si>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</si>
  <si>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</si>
  <si>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</si>
  <si>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</si>
  <si>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</si>
  <si>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</si>
  <si>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</si>
  <si>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</si>
  <si>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</si>
  <si>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</si>
  <si>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</si>
  <si>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</si>
  <si>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</si>
  <si>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</si>
  <si>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</si>
  <si>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</si>
  <si>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</si>
  <si>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</si>
  <si>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</si>
  <si>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</si>
  <si>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</si>
  <si>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</si>
  <si>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</si>
  <si>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</si>
  <si>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</si>
  <si>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</si>
  <si>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</si>
  <si>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</si>
  <si>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t>(1) Methanol</t>
  </si>
  <si>
    <t>(2) Benzene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</si>
  <si>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</si>
  <si>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</si>
  <si>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</si>
  <si>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</si>
  <si>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</si>
  <si>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</si>
  <si>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</si>
  <si>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</si>
  <si>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</si>
  <si>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</si>
  <si>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</si>
  <si>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</si>
  <si>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</si>
  <si>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</si>
  <si>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</si>
  <si>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</si>
  <si>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</si>
  <si>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</si>
  <si>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</si>
  <si>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</si>
  <si>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</si>
  <si>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</si>
  <si>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</si>
  <si>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</si>
  <si>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</si>
  <si>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</si>
  <si>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</si>
  <si>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</si>
  <si>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</si>
  <si>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</si>
  <si>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</si>
  <si>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</si>
  <si>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</si>
  <si>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</si>
  <si>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</si>
  <si>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</si>
  <si>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</si>
  <si>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</si>
  <si>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</si>
  <si>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</si>
  <si>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</si>
  <si>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</si>
  <si>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</si>
  <si>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</si>
  <si>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</si>
  <si>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</si>
  <si>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</si>
  <si>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</si>
  <si>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</si>
  <si>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</si>
  <si>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</si>
  <si>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</si>
  <si>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</si>
  <si>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</si>
  <si>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</si>
  <si>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</si>
  <si>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</si>
  <si>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</si>
  <si>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</si>
  <si>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</si>
  <si>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</si>
  <si>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</si>
  <si>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</si>
  <si>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</si>
  <si>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</si>
  <si>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</si>
  <si>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</si>
  <si>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</si>
  <si>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</si>
  <si>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</si>
  <si>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</si>
  <si>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</si>
  <si>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</si>
  <si>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</si>
  <si>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</si>
  <si>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</si>
  <si>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</si>
  <si>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</si>
  <si>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</si>
  <si>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</si>
  <si>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</si>
  <si>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</si>
  <si>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</si>
  <si>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</si>
  <si>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</si>
  <si>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</si>
  <si>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</si>
  <si>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</si>
  <si>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</si>
  <si>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</si>
  <si>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</si>
  <si>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</si>
  <si>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</si>
  <si>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</si>
  <si>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</si>
  <si>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</si>
  <si>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</si>
  <si>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</si>
  <si>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</si>
  <si>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</si>
  <si>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</si>
  <si>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</si>
  <si>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</si>
  <si>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</si>
  <si>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</si>
  <si>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</si>
  <si>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</si>
  <si>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</si>
  <si>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</si>
  <si>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</si>
  <si>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</si>
  <si>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</si>
  <si>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</si>
  <si>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</si>
  <si>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</si>
  <si>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</si>
  <si>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</si>
  <si>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</si>
  <si>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</si>
  <si>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</si>
  <si>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</si>
  <si>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</si>
  <si>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</si>
  <si>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</si>
  <si>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</si>
  <si>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</si>
  <si>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</si>
  <si>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</si>
  <si>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</si>
  <si>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</si>
  <si>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</si>
  <si>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</si>
  <si>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</si>
  <si>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</si>
  <si>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</si>
  <si>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</si>
  <si>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</si>
  <si>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</si>
  <si>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</si>
  <si>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</si>
  <si>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</si>
  <si>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</si>
  <si>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</si>
  <si>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</si>
  <si>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</si>
  <si>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</si>
  <si>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</si>
  <si>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</si>
  <si>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</si>
  <si>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</si>
  <si>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</si>
  <si>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</si>
  <si>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</si>
  <si>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</si>
  <si>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</si>
  <si>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</si>
  <si>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</si>
  <si>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</si>
  <si>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</si>
  <si>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</si>
  <si>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</si>
  <si>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</si>
  <si>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</si>
  <si>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</si>
  <si>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</si>
  <si>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</si>
  <si>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</si>
  <si>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</si>
  <si>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</si>
  <si>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</si>
  <si>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</si>
  <si>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</si>
  <si>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</si>
  <si>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</si>
  <si>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</si>
  <si>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</si>
  <si>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</si>
  <si>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</si>
  <si>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</si>
  <si>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</si>
  <si>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</si>
  <si>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</si>
  <si>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</si>
  <si>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</si>
  <si>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</si>
  <si>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</si>
  <si>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</si>
  <si>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</si>
  <si>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</si>
  <si>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</si>
  <si>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</si>
  <si>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</si>
  <si>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</si>
  <si>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</si>
  <si>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</si>
  <si>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</si>
  <si>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</si>
  <si>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</si>
  <si>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</si>
  <si>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</si>
  <si>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</si>
  <si>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</si>
  <si>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</si>
  <si>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</si>
  <si>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</si>
  <si>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</si>
  <si>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</si>
  <si>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</si>
  <si>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</si>
  <si>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</si>
  <si>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</si>
  <si>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</si>
  <si>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</si>
  <si>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C2-COOH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</si>
  <si>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</si>
  <si>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</si>
  <si>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</si>
  <si>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</si>
  <si>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</si>
  <si>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</si>
  <si>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</si>
  <si>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</si>
  <si>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</si>
  <si>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</si>
  <si>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</si>
  <si>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</si>
  <si>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</si>
  <si>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</si>
  <si>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</si>
  <si>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</si>
  <si>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</si>
  <si>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</si>
  <si>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</si>
  <si>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</si>
  <si>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</si>
  <si>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</si>
  <si>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</si>
  <si>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</si>
  <si>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</si>
  <si>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</si>
  <si>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</si>
  <si>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</si>
  <si>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</si>
  <si>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</si>
  <si>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</si>
  <si>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</si>
  <si>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</si>
  <si>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</si>
  <si>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</si>
  <si>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</si>
  <si>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</si>
  <si>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</si>
  <si>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</si>
  <si>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</si>
  <si>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</si>
  <si>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</si>
  <si>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</si>
  <si>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</si>
  <si>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</si>
  <si>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</si>
  <si>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</si>
  <si>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</si>
  <si>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</si>
  <si>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</si>
  <si>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</si>
  <si>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</si>
  <si>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</si>
  <si>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</si>
  <si>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</si>
  <si>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</si>
  <si>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</si>
  <si>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</si>
  <si>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</si>
  <si>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</si>
  <si>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</si>
  <si>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</si>
  <si>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</si>
  <si>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</si>
  <si>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</si>
  <si>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</si>
  <si>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</si>
  <si>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</si>
  <si>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</si>
  <si>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</si>
  <si>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</si>
  <si>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</si>
  <si>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</si>
  <si>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</si>
  <si>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</si>
  <si>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</si>
  <si>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</si>
  <si>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</si>
  <si>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</si>
  <si>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</si>
  <si>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none</t>
  </si>
  <si>
    <t>ethyl benzene</t>
  </si>
  <si>
    <t>Methanol</t>
  </si>
  <si>
    <t>C6H12</t>
  </si>
  <si>
    <t>Para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</si>
</sst>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6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39"/>
      <name val="Arial"/>
      <family val="2"/>
    </font>
    <font>
      <u/>
      <sz val="10"/>
      <color theme="10"/>
      <name val="Courier"/>
      <family val="1"/>
    </font>
    <font>
      <u/>
      <sz val="10"/>
      <color theme="11"/>
      <name val="Courier"/>
      <family val="1"/>
    </font>
    <font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">
    <xf numFmtId="164" fontId="0" fillId="0" borderId="0"/>
    <xf numFmtId="164" fontId="33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</cellStyleXfs>
  <cellXfs count="2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8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9" fillId="0" borderId="0" xfId="3"/>
    <xf numFmtId="0" fontId="15" fillId="0" borderId="0" xfId="3" applyFont="1"/>
    <xf numFmtId="0" fontId="39" fillId="0" borderId="12" xfId="3" applyBorder="1"/>
    <xf numFmtId="0" fontId="41" fillId="0" borderId="12" xfId="3" applyFont="1" applyBorder="1" applyProtection="1">
      <protection locked="0"/>
    </xf>
    <xf numFmtId="11" fontId="41" fillId="0" borderId="12" xfId="3" applyNumberFormat="1" applyFont="1" applyBorder="1" applyProtection="1">
      <protection locked="0"/>
    </xf>
    <xf numFmtId="0" fontId="39" fillId="0" borderId="12" xfId="3" applyFont="1" applyBorder="1" applyProtection="1"/>
    <xf numFmtId="0" fontId="39" fillId="0" borderId="0" xfId="3" applyFont="1"/>
    <xf numFmtId="0" fontId="39" fillId="0" borderId="1" xfId="3" applyBorder="1"/>
    <xf numFmtId="0" fontId="39" fillId="0" borderId="2" xfId="3" applyBorder="1"/>
    <xf numFmtId="0" fontId="39" fillId="0" borderId="4" xfId="3" applyBorder="1"/>
    <xf numFmtId="0" fontId="39" fillId="0" borderId="13" xfId="3" applyBorder="1"/>
    <xf numFmtId="0" fontId="39" fillId="0" borderId="0" xfId="3" applyBorder="1"/>
    <xf numFmtId="0" fontId="39" fillId="0" borderId="14" xfId="3" applyBorder="1"/>
    <xf numFmtId="0" fontId="39" fillId="0" borderId="5" xfId="3" applyBorder="1"/>
    <xf numFmtId="0" fontId="39" fillId="0" borderId="6" xfId="3" applyBorder="1"/>
    <xf numFmtId="0" fontId="39" fillId="0" borderId="8" xfId="3" applyBorder="1"/>
    <xf numFmtId="0" fontId="42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</cellXfs>
  <cellStyles count="18"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Normal_Actcoeff" xfId="1" xr:uid="{00000000-0005-0000-0000-00000B000000}"/>
    <cellStyle name="Normal_aij-unifac" xfId="2" xr:uid="{00000000-0005-0000-0000-00000C000000}"/>
    <cellStyle name="Normal_nrtlaug11" xfId="3" xr:uid="{00000000-0005-0000-0000-00000D000000}"/>
    <cellStyle name="Normal_Regular" xfId="4" xr:uid="{00000000-0005-0000-0000-00000E000000}"/>
    <cellStyle name="Normal_unifac" xfId="5" xr:uid="{00000000-0005-0000-0000-00000F000000}"/>
    <cellStyle name="Normal_unifac_1" xfId="6" xr:uid="{00000000-0005-0000-0000-000010000000}"/>
    <cellStyle name="Normal_UNIQUAC5" xfId="7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001"/>
          <c:y val="0.122049520816136"/>
          <c:w val="0.78139292403614802"/>
          <c:h val="0.5560033726068399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3DD-6B4D-BC62-2737959D4B0C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</c:v>
                </c:pt>
                <c:pt idx="1">
                  <c:v>0.18523807606481901</c:v>
                </c:pt>
                <c:pt idx="2">
                  <c:v>0.30110019978909031</c:v>
                </c:pt>
                <c:pt idx="3">
                  <c:v>0.42490450918554279</c:v>
                </c:pt>
                <c:pt idx="4">
                  <c:v>0.56413292160300499</c:v>
                </c:pt>
                <c:pt idx="5">
                  <c:v>0.6635958059604512</c:v>
                </c:pt>
                <c:pt idx="6">
                  <c:v>0.68426254011950605</c:v>
                </c:pt>
                <c:pt idx="7">
                  <c:v>0.70609242119422044</c:v>
                </c:pt>
                <c:pt idx="8">
                  <c:v>0.6668775292468565</c:v>
                </c:pt>
                <c:pt idx="9">
                  <c:v>0.62387464473882026</c:v>
                </c:pt>
                <c:pt idx="10">
                  <c:v>0.55592059370370883</c:v>
                </c:pt>
                <c:pt idx="11">
                  <c:v>0.66337888032750214</c:v>
                </c:pt>
                <c:pt idx="12">
                  <c:v>0.66318930258351361</c:v>
                </c:pt>
                <c:pt idx="13">
                  <c:v>0.99999333150316094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3DD-6B4D-BC62-2737959D4B0C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3DD-6B4D-BC62-2737959D4B0C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3DD-6B4D-BC62-2737959D4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175896"/>
        <c:axId val="-2107185160"/>
      </c:scatterChart>
      <c:valAx>
        <c:axId val="212717589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107185160"/>
        <c:crosses val="autoZero"/>
        <c:crossBetween val="midCat"/>
      </c:valAx>
      <c:valAx>
        <c:axId val="-21071851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44416167068054E-2"/>
              <c:y val="0.32546546546546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71758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299"/>
          <c:h val="0.60902387162732197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44-2446-8486-710FCC019280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</c:v>
                </c:pt>
                <c:pt idx="1">
                  <c:v>0.12170327389226415</c:v>
                </c:pt>
                <c:pt idx="2">
                  <c:v>0.20945461254557959</c:v>
                </c:pt>
                <c:pt idx="3">
                  <c:v>0.31606815221694556</c:v>
                </c:pt>
                <c:pt idx="4">
                  <c:v>0.4578103374498701</c:v>
                </c:pt>
                <c:pt idx="5">
                  <c:v>0.5838637083648438</c:v>
                </c:pt>
                <c:pt idx="6">
                  <c:v>0.61653194998048066</c:v>
                </c:pt>
                <c:pt idx="7">
                  <c:v>0.69585068800872807</c:v>
                </c:pt>
                <c:pt idx="8">
                  <c:v>0.7134724174738527</c:v>
                </c:pt>
                <c:pt idx="9">
                  <c:v>0.71681038959056209</c:v>
                </c:pt>
                <c:pt idx="10">
                  <c:v>0.74072331548304171</c:v>
                </c:pt>
                <c:pt idx="11">
                  <c:v>0.85950871311427757</c:v>
                </c:pt>
                <c:pt idx="12">
                  <c:v>0.85939512651294026</c:v>
                </c:pt>
                <c:pt idx="13">
                  <c:v>0.99999335545013823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544-2446-8486-710FCC019280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544-2446-8486-710FCC019280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544-2446-8486-710FCC019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7499736"/>
        <c:axId val="-2108032136"/>
      </c:scatterChart>
      <c:valAx>
        <c:axId val="-210749973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43876148947516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108032136"/>
        <c:crosses val="autoZero"/>
        <c:crossBetween val="midCat"/>
      </c:valAx>
      <c:valAx>
        <c:axId val="-21080321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630736894939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10749973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49999"/>
          <c:y val="0.120556414219474"/>
          <c:w val="0.77426992896606095"/>
          <c:h val="0.5703245749613600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065-744E-9DBE-F768685CF7FD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</c:v>
                </c:pt>
                <c:pt idx="1">
                  <c:v>0.22972359109167673</c:v>
                </c:pt>
                <c:pt idx="2">
                  <c:v>0.34095794753461306</c:v>
                </c:pt>
                <c:pt idx="3">
                  <c:v>0.44032709152153826</c:v>
                </c:pt>
                <c:pt idx="4">
                  <c:v>0.53102807376922501</c:v>
                </c:pt>
                <c:pt idx="5">
                  <c:v>0.58022038272507581</c:v>
                </c:pt>
                <c:pt idx="6">
                  <c:v>0.58830805428710253</c:v>
                </c:pt>
                <c:pt idx="7">
                  <c:v>0.60574856427327572</c:v>
                </c:pt>
                <c:pt idx="8">
                  <c:v>0.6334876342480783</c:v>
                </c:pt>
                <c:pt idx="9">
                  <c:v>0.66913345201255481</c:v>
                </c:pt>
                <c:pt idx="10">
                  <c:v>0.774548803002859</c:v>
                </c:pt>
                <c:pt idx="11">
                  <c:v>0.91856333050173999</c:v>
                </c:pt>
                <c:pt idx="12">
                  <c:v>0.91847726197584723</c:v>
                </c:pt>
                <c:pt idx="13">
                  <c:v>0.99999335545019952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065-744E-9DBE-F768685CF7FD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065-744E-9DBE-F768685CF7FD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065-744E-9DBE-F768685CF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088328"/>
        <c:axId val="-2106887320"/>
      </c:scatterChart>
      <c:valAx>
        <c:axId val="212708832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2998474027955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106887320"/>
        <c:crosses val="autoZero"/>
        <c:crossBetween val="midCat"/>
      </c:valAx>
      <c:valAx>
        <c:axId val="-21068873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312201672465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708832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01"/>
          <c:y val="5.4158658500304602E-2"/>
          <c:w val="0.74233277082688398"/>
          <c:h val="0.79303749946874602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3.5162213412928449</c:v>
                </c:pt>
                <c:pt idx="1">
                  <c:v>3.1046529659059239</c:v>
                </c:pt>
                <c:pt idx="2">
                  <c:v>2.7603839063313402</c:v>
                </c:pt>
                <c:pt idx="3">
                  <c:v>2.4711096386763343</c:v>
                </c:pt>
                <c:pt idx="4">
                  <c:v>2.2270606035492984</c:v>
                </c:pt>
                <c:pt idx="5">
                  <c:v>2.0204387704530311</c:v>
                </c:pt>
                <c:pt idx="6">
                  <c:v>1.844989098095063</c:v>
                </c:pt>
                <c:pt idx="7">
                  <c:v>1.6956717176001468</c:v>
                </c:pt>
                <c:pt idx="8">
                  <c:v>1.5684098079557436</c:v>
                </c:pt>
                <c:pt idx="9">
                  <c:v>1.4598947180787383</c:v>
                </c:pt>
                <c:pt idx="10">
                  <c:v>1.3674346645894071</c:v>
                </c:pt>
                <c:pt idx="11">
                  <c:v>1.288836819377158</c:v>
                </c:pt>
                <c:pt idx="12">
                  <c:v>1.2223151617814934</c:v>
                </c:pt>
                <c:pt idx="13">
                  <c:v>1.1664183649555311</c:v>
                </c:pt>
                <c:pt idx="14">
                  <c:v>1.1199733985402323</c:v>
                </c:pt>
                <c:pt idx="15">
                  <c:v>1.0820415919629587</c:v>
                </c:pt>
                <c:pt idx="16">
                  <c:v>1.0518847098044506</c:v>
                </c:pt>
                <c:pt idx="17">
                  <c:v>1.0289392124028436</c:v>
                </c:pt>
                <c:pt idx="18">
                  <c:v>1.0127973627769944</c:v>
                </c:pt>
                <c:pt idx="19">
                  <c:v>1.0031942340335018</c:v>
                </c:pt>
                <c:pt idx="2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D0-E846-8FE6-A61341FBB763}"/>
            </c:ext>
          </c:extLst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</c:v>
                </c:pt>
                <c:pt idx="1">
                  <c:v>1.0031942340335018</c:v>
                </c:pt>
                <c:pt idx="2">
                  <c:v>1.0127973627769944</c:v>
                </c:pt>
                <c:pt idx="3">
                  <c:v>1.0289392124028436</c:v>
                </c:pt>
                <c:pt idx="4">
                  <c:v>1.0518847098044506</c:v>
                </c:pt>
                <c:pt idx="5">
                  <c:v>1.0820415919629587</c:v>
                </c:pt>
                <c:pt idx="6">
                  <c:v>1.1199733985402323</c:v>
                </c:pt>
                <c:pt idx="7">
                  <c:v>1.1664183649555311</c:v>
                </c:pt>
                <c:pt idx="8">
                  <c:v>1.2223151617814934</c:v>
                </c:pt>
                <c:pt idx="9">
                  <c:v>1.288836819377158</c:v>
                </c:pt>
                <c:pt idx="10">
                  <c:v>1.3674346645894071</c:v>
                </c:pt>
                <c:pt idx="11">
                  <c:v>1.4598947180787383</c:v>
                </c:pt>
                <c:pt idx="12">
                  <c:v>1.5684098079557436</c:v>
                </c:pt>
                <c:pt idx="13">
                  <c:v>1.6956717176001468</c:v>
                </c:pt>
                <c:pt idx="14">
                  <c:v>1.844989098095063</c:v>
                </c:pt>
                <c:pt idx="15">
                  <c:v>2.0204387704530311</c:v>
                </c:pt>
                <c:pt idx="16">
                  <c:v>2.2270606035492984</c:v>
                </c:pt>
                <c:pt idx="17">
                  <c:v>2.4711096386763343</c:v>
                </c:pt>
                <c:pt idx="18">
                  <c:v>2.7603839063313402</c:v>
                </c:pt>
                <c:pt idx="19">
                  <c:v>3.1046529659059239</c:v>
                </c:pt>
                <c:pt idx="20">
                  <c:v>3.5162213412928449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D0-E846-8FE6-A61341FBB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6524168"/>
        <c:axId val="2127472888"/>
      </c:scatterChart>
      <c:valAx>
        <c:axId val="-210652416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497"/>
              <c:y val="0.916828718898012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7472888"/>
        <c:crosses val="autoZero"/>
        <c:crossBetween val="midCat"/>
      </c:valAx>
      <c:valAx>
        <c:axId val="2127472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gamma</a:t>
                </a:r>
              </a:p>
            </c:rich>
          </c:tx>
          <c:layout>
            <c:manualLayout>
              <c:xMode val="edge"/>
              <c:yMode val="edge"/>
              <c:x val="3.0674907885408501E-2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10652416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01"/>
          <c:y val="0.10058036578628"/>
          <c:w val="0.175869471876342"/>
          <c:h val="8.31722255540392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199"/>
          <c:y val="0.10175473463108101"/>
          <c:w val="0.76851990834763495"/>
          <c:h val="0.64912503126723997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</c:v>
                </c:pt>
                <c:pt idx="1">
                  <c:v>-5.8526263184391143E-2</c:v>
                </c:pt>
                <c:pt idx="2">
                  <c:v>-7.3170809828983552E-2</c:v>
                </c:pt>
                <c:pt idx="3">
                  <c:v>-7.9417118711015908E-2</c:v>
                </c:pt>
                <c:pt idx="4">
                  <c:v>-8.1901861537314949E-2</c:v>
                </c:pt>
                <c:pt idx="5">
                  <c:v>-8.2054004240710993E-2</c:v>
                </c:pt>
                <c:pt idx="6">
                  <c:v>-8.044320908797177E-2</c:v>
                </c:pt>
                <c:pt idx="7">
                  <c:v>-7.7358534263080925E-2</c:v>
                </c:pt>
                <c:pt idx="8">
                  <c:v>-7.3001069019793405E-2</c:v>
                </c:pt>
                <c:pt idx="9">
                  <c:v>-6.7561760684280298E-2</c:v>
                </c:pt>
                <c:pt idx="10">
                  <c:v>-6.1259330978385027E-2</c:v>
                </c:pt>
                <c:pt idx="11">
                  <c:v>-5.4363498549103328E-2</c:v>
                </c:pt>
                <c:pt idx="12">
                  <c:v>-4.7213104265483051E-2</c:v>
                </c:pt>
                <c:pt idx="13">
                  <c:v>-4.0232618283381948E-2</c:v>
                </c:pt>
                <c:pt idx="14">
                  <c:v>-3.3946561598639298E-2</c:v>
                </c:pt>
                <c:pt idx="15">
                  <c:v>-2.8985335936918568E-2</c:v>
                </c:pt>
                <c:pt idx="16">
                  <c:v>-2.6060103502693714E-2</c:v>
                </c:pt>
                <c:pt idx="17">
                  <c:v>-2.5832673179705622E-2</c:v>
                </c:pt>
                <c:pt idx="18">
                  <c:v>-2.8400945527763444E-2</c:v>
                </c:pt>
                <c:pt idx="19">
                  <c:v>-3.0971603907365523E-2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FA1-8F43-8167-8ACABA480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857352"/>
        <c:axId val="2108065992"/>
      </c:scatterChart>
      <c:valAx>
        <c:axId val="-2113857352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03"/>
              <c:y val="0.845616982087765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08065992"/>
        <c:crossesAt val="-0.2"/>
        <c:crossBetween val="midCat"/>
        <c:majorUnit val="0.1"/>
        <c:minorUnit val="0.05"/>
      </c:valAx>
      <c:valAx>
        <c:axId val="21080659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2.9629586505013999E-2"/>
              <c:y val="0.329825666528526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3857352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" l="1.25" r="1.25" t="1.5" header="0.5" footer="0.5"/>
    <c:pageSetup orientation="portrait" blackAndWhite="1" horizontalDpi="300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799"/>
          <c:y val="9.2356687898089193E-2"/>
          <c:w val="0.79742316525517398"/>
          <c:h val="0.6815286624203830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</c:v>
                </c:pt>
                <c:pt idx="1">
                  <c:v>0.61026432828693755</c:v>
                </c:pt>
                <c:pt idx="2">
                  <c:v>0.78862555732243367</c:v>
                </c:pt>
                <c:pt idx="3">
                  <c:v>0.86296523360381849</c:v>
                </c:pt>
                <c:pt idx="4">
                  <c:v>0.90409027068558112</c:v>
                </c:pt>
                <c:pt idx="5">
                  <c:v>0.93222111721580814</c:v>
                </c:pt>
                <c:pt idx="6">
                  <c:v>0.95403543806710378</c:v>
                </c:pt>
                <c:pt idx="7">
                  <c:v>0.97182309906526598</c:v>
                </c:pt>
                <c:pt idx="8">
                  <c:v>0.98627329929233643</c:v>
                </c:pt>
                <c:pt idx="9">
                  <c:v>0.9974616196302265</c:v>
                </c:pt>
                <c:pt idx="10">
                  <c:v>1.0052471654132611</c:v>
                </c:pt>
                <c:pt idx="11">
                  <c:v>1.0094566380036247</c:v>
                </c:pt>
                <c:pt idx="12">
                  <c:v>1.0099893169647214</c:v>
                </c:pt>
                <c:pt idx="13">
                  <c:v>1.0068981576656892</c:v>
                </c:pt>
                <c:pt idx="14">
                  <c:v>1.0004766312025006</c:v>
                </c:pt>
                <c:pt idx="15">
                  <c:v>0.99137730846246774</c:v>
                </c:pt>
                <c:pt idx="16">
                  <c:v>0.98080075512216336</c:v>
                </c:pt>
                <c:pt idx="17">
                  <c:v>0.97083217607706018</c:v>
                </c:pt>
                <c:pt idx="18">
                  <c:v>0.96510827683892353</c:v>
                </c:pt>
                <c:pt idx="19">
                  <c:v>0.97030549125687682</c:v>
                </c:pt>
                <c:pt idx="20">
                  <c:v>1.0000000000105798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CC7-E441-BD56-878940CE36CB}"/>
            </c:ext>
          </c:extLst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</c:v>
                </c:pt>
                <c:pt idx="1">
                  <c:v>0.96501291087949437</c:v>
                </c:pt>
                <c:pt idx="2">
                  <c:v>0.94656460885371252</c:v>
                </c:pt>
                <c:pt idx="3">
                  <c:v>0.93479921618924078</c:v>
                </c:pt>
                <c:pt idx="4">
                  <c:v>0.925731715620421</c:v>
                </c:pt>
                <c:pt idx="5">
                  <c:v>0.91758481835481887</c:v>
                </c:pt>
                <c:pt idx="6">
                  <c:v>0.90959787532627634</c:v>
                </c:pt>
                <c:pt idx="7">
                  <c:v>0.90156503535352039</c:v>
                </c:pt>
                <c:pt idx="8">
                  <c:v>0.89363851932014249</c:v>
                </c:pt>
                <c:pt idx="9">
                  <c:v>0.88624657315857669</c:v>
                </c:pt>
                <c:pt idx="10">
                  <c:v>0.88007151394501937</c:v>
                </c:pt>
                <c:pt idx="11">
                  <c:v>0.87606798786653295</c:v>
                </c:pt>
                <c:pt idx="12">
                  <c:v>0.87551552826017787</c:v>
                </c:pt>
                <c:pt idx="13">
                  <c:v>0.88010222044219633</c:v>
                </c:pt>
                <c:pt idx="14">
                  <c:v>0.89201968358586436</c:v>
                </c:pt>
                <c:pt idx="15">
                  <c:v>0.9139667400408561</c:v>
                </c:pt>
                <c:pt idx="16">
                  <c:v>0.94861074163709913</c:v>
                </c:pt>
                <c:pt idx="17">
                  <c:v>0.99553492721594239</c:v>
                </c:pt>
                <c:pt idx="18">
                  <c:v>1.0362675510003589</c:v>
                </c:pt>
                <c:pt idx="19">
                  <c:v>0.95438316928185174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CC7-E441-BD56-878940CE3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6812168"/>
        <c:axId val="2108290696"/>
      </c:scatterChart>
      <c:valAx>
        <c:axId val="210681216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099"/>
              <c:y val="0.8598725159355079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08290696"/>
        <c:crosses val="autoZero"/>
        <c:crossBetween val="midCat"/>
        <c:majorUnit val="0.1"/>
        <c:minorUnit val="0.05"/>
      </c:valAx>
      <c:valAx>
        <c:axId val="21082906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2.5782688766114201E-2"/>
              <c:y val="0.38853509977919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0681216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>
          <a:extLs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>
          <a:extLst>
            <a:ext uri="{FF2B5EF4-FFF2-40B4-BE49-F238E27FC236}">
              <a16:creationId xmlns:a16="http://schemas.microsoft.com/office/drawing/2014/main" id="{00000000-0008-0000-02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>
          <a:extLs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>
          <a:extLst>
            <a:ext uri="{FF2B5EF4-FFF2-40B4-BE49-F238E27FC236}">
              <a16:creationId xmlns:a16="http://schemas.microsoft.com/office/drawing/2014/main" id="{00000000-0008-0000-0300-000001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347133</xdr:colOff>
      <xdr:row>22</xdr:row>
      <xdr:rowOff>16934</xdr:rowOff>
    </xdr:from>
    <xdr:to>
      <xdr:col>47</xdr:col>
      <xdr:colOff>410633</xdr:colOff>
      <xdr:row>32</xdr:row>
      <xdr:rowOff>42334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BB6063-1552-CB41-9282-95DD0857F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11600" y="3996267"/>
          <a:ext cx="2171700" cy="1524000"/>
        </a:xfrm>
        <a:prstGeom prst="rect">
          <a:avLst/>
        </a:prstGeom>
      </xdr:spPr>
    </xdr:pic>
    <xdr:clientData/>
  </xdr:twoCellAnchor>
  <xdr:twoCellAnchor editAs="oneCell">
    <xdr:from>
      <xdr:col>44</xdr:col>
      <xdr:colOff>313266</xdr:colOff>
      <xdr:row>18</xdr:row>
      <xdr:rowOff>135466</xdr:rowOff>
    </xdr:from>
    <xdr:to>
      <xdr:col>51</xdr:col>
      <xdr:colOff>140489</xdr:colOff>
      <xdr:row>33</xdr:row>
      <xdr:rowOff>38099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0D7FD92-4FC3-3D48-A272-B49D85403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77733" y="3462866"/>
          <a:ext cx="4746356" cy="2222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>
          <a:extLst>
            <a:ext uri="{FF2B5EF4-FFF2-40B4-BE49-F238E27FC236}">
              <a16:creationId xmlns:a16="http://schemas.microsoft.com/office/drawing/2014/main" id="{00000000-0008-0000-0D00-000001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>
          <a:extLst>
            <a:ext uri="{FF2B5EF4-FFF2-40B4-BE49-F238E27FC236}">
              <a16:creationId xmlns:a16="http://schemas.microsoft.com/office/drawing/2014/main" id="{00000000-0008-0000-0D00-000002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39"/>
  <sheetViews>
    <sheetView showGridLines="0" topLeftCell="A6" zoomScale="150" zoomScaleNormal="150" zoomScalePageLayoutView="150" workbookViewId="0">
      <selection activeCell="M13" sqref="M13"/>
    </sheetView>
  </sheetViews>
  <sheetFormatPr baseColWidth="10" defaultColWidth="9.1640625" defaultRowHeight="13"/>
  <cols>
    <col min="1" max="1" width="9.1640625" style="1" customWidth="1"/>
    <col min="2" max="2" width="16.33203125" style="1" customWidth="1"/>
    <col min="3" max="16384" width="9.1640625" style="1"/>
  </cols>
  <sheetData>
    <row r="2" spans="2:3" ht="23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308</v>
      </c>
      <c r="C12" s="1" t="s">
        <v>311</v>
      </c>
    </row>
    <row r="14" spans="2:3">
      <c r="B14" s="1" t="s">
        <v>309</v>
      </c>
      <c r="C14" s="1" t="s">
        <v>310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242</v>
      </c>
      <c r="C20" s="1" t="s">
        <v>243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240</v>
      </c>
      <c r="C27" s="1" t="s">
        <v>241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345</v>
      </c>
    </row>
    <row r="38" spans="2:2">
      <c r="B38" s="1" t="s">
        <v>306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W51"/>
  <sheetViews>
    <sheetView showGridLines="0" tabSelected="1" topLeftCell="A8" zoomScale="150" zoomScaleNormal="150" zoomScalePageLayoutView="150" workbookViewId="0">
      <selection activeCell="B11" sqref="B11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9.332031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304</v>
      </c>
      <c r="B1" s="144"/>
      <c r="C1" s="144"/>
    </row>
    <row r="2" spans="1:47">
      <c r="A2" s="144" t="s">
        <v>108</v>
      </c>
      <c r="B2" s="144"/>
      <c r="C2" s="144"/>
    </row>
    <row r="3" spans="1:47">
      <c r="A3" s="144" t="s">
        <v>109</v>
      </c>
      <c r="B3" s="144"/>
      <c r="C3" s="144"/>
    </row>
    <row r="4" spans="1:47">
      <c r="A4" s="144" t="s">
        <v>305</v>
      </c>
      <c r="B4" s="144"/>
      <c r="C4" s="144"/>
    </row>
    <row r="5" spans="1:47">
      <c r="A5" s="144" t="s">
        <v>110</v>
      </c>
      <c r="B5" s="144"/>
      <c r="C5" s="144"/>
    </row>
    <row r="6" spans="1:47">
      <c r="A6" s="144" t="s">
        <v>111</v>
      </c>
      <c r="B6" s="144"/>
      <c r="C6" s="144"/>
    </row>
    <row r="7" spans="1:47">
      <c r="A7" s="144" t="s">
        <v>112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113</v>
      </c>
      <c r="E9" s="47" t="s">
        <v>114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115</v>
      </c>
      <c r="B10" s="144">
        <f t="array" ref="B10">SUM(B22:F22*B23:F23*B17:F17)</f>
        <v>6515.3636854678116</v>
      </c>
      <c r="C10" s="144" t="s">
        <v>116</v>
      </c>
      <c r="D10" s="48" t="s">
        <v>117</v>
      </c>
      <c r="E10" s="49"/>
      <c r="F10" s="49"/>
      <c r="G10" s="49"/>
      <c r="X10" s="35"/>
      <c r="AN10"/>
      <c r="AS10" s="188" t="s">
        <v>118</v>
      </c>
    </row>
    <row r="11" spans="1:47">
      <c r="A11" s="144" t="s">
        <v>178</v>
      </c>
      <c r="B11" s="145">
        <v>132.69999999999999</v>
      </c>
      <c r="C11" s="146" t="s">
        <v>119</v>
      </c>
      <c r="D11" s="50" t="s">
        <v>120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121</v>
      </c>
      <c r="B12" s="144">
        <v>1</v>
      </c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1">
      <c r="B13" s="36" t="s">
        <v>122</v>
      </c>
      <c r="C13" s="36" t="s">
        <v>123</v>
      </c>
      <c r="D13" s="36" t="s">
        <v>124</v>
      </c>
      <c r="E13" s="36" t="s">
        <v>125</v>
      </c>
      <c r="F13" s="36" t="s">
        <v>126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248</v>
      </c>
    </row>
    <row r="14" spans="1:47" s="72" customFormat="1" ht="11">
      <c r="A14" s="35" t="s">
        <v>127</v>
      </c>
      <c r="B14" s="57">
        <v>8.0809700000000007</v>
      </c>
      <c r="C14" s="57">
        <v>7.2647529999999998</v>
      </c>
      <c r="D14" s="57"/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249</v>
      </c>
    </row>
    <row r="15" spans="1:47" s="72" customFormat="1" ht="11">
      <c r="A15" s="35" t="s">
        <v>128</v>
      </c>
      <c r="B15" s="57">
        <v>1582.271</v>
      </c>
      <c r="C15" s="57">
        <v>1434.1479999999999</v>
      </c>
      <c r="D15" s="57"/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247</v>
      </c>
    </row>
    <row r="16" spans="1:47" s="72" customFormat="1" ht="11">
      <c r="A16" s="35" t="s">
        <v>129</v>
      </c>
      <c r="B16" s="57">
        <v>239.726</v>
      </c>
      <c r="C16" s="57">
        <v>246.72069999999999</v>
      </c>
      <c r="D16" s="57"/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246</v>
      </c>
    </row>
    <row r="17" spans="1:49" s="35" customFormat="1" ht="13">
      <c r="A17" s="35" t="s">
        <v>130</v>
      </c>
      <c r="B17" s="57">
        <f>10^(B14-B15/(B16+TC.))</f>
        <v>6798.5862240933047</v>
      </c>
      <c r="C17" s="57">
        <f>10^(C14-C15/(C16+TC.))</f>
        <v>3054.3377184379374</v>
      </c>
      <c r="D17" s="57">
        <f>10^(D14-D15/(D16+TC.))</f>
        <v>1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131</v>
      </c>
      <c r="B18" s="191">
        <f>B22*B23*B17/$B$10</f>
        <v>0.5479224790737407</v>
      </c>
      <c r="C18" s="191">
        <f>C22*C23*C17/$B$10</f>
        <v>0.45207752092625936</v>
      </c>
      <c r="D18" s="191">
        <f>D22*D23*D17/$B$10</f>
        <v>2.476441677780747E-24</v>
      </c>
      <c r="E18" s="191">
        <f>E22*E23*E17/$B$10</f>
        <v>5.6920644881391683E-24</v>
      </c>
      <c r="F18" s="191">
        <f>F22*F23*F17/$B$10</f>
        <v>1.4021800163611141E-24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238</v>
      </c>
    </row>
    <row r="19" spans="1:49" s="35" customFormat="1" ht="11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1">
      <c r="B20" s="36">
        <v>1</v>
      </c>
      <c r="C20" s="36">
        <v>2</v>
      </c>
      <c r="D20" s="36">
        <v>3</v>
      </c>
      <c r="E20" s="36" t="s">
        <v>125</v>
      </c>
      <c r="F20" s="36" t="s">
        <v>126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67</v>
      </c>
    </row>
    <row r="21" spans="1:49" s="72" customFormat="1" ht="13">
      <c r="A21" s="35"/>
      <c r="B21" s="53" t="s">
        <v>350</v>
      </c>
      <c r="C21" s="53" t="s">
        <v>132</v>
      </c>
      <c r="D21" s="53" t="s">
        <v>81</v>
      </c>
      <c r="E21" s="54" t="s">
        <v>347</v>
      </c>
      <c r="F21" s="53" t="s">
        <v>346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69</v>
      </c>
    </row>
    <row r="22" spans="1:49" s="72" customFormat="1" ht="15">
      <c r="A22" s="72" t="s">
        <v>85</v>
      </c>
      <c r="B22" s="55">
        <v>0.1</v>
      </c>
      <c r="C22" s="55">
        <f>1-B22</f>
        <v>0.9</v>
      </c>
      <c r="D22" s="55">
        <v>9.9999999999999995E-21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134</v>
      </c>
      <c r="L22" s="36"/>
      <c r="M22"/>
      <c r="N22"/>
      <c r="O22"/>
      <c r="P22"/>
      <c r="Q22" s="80" t="s">
        <v>135</v>
      </c>
      <c r="R22" s="36"/>
      <c r="S22" s="36"/>
      <c r="T22" s="36"/>
      <c r="U22"/>
      <c r="V22" s="35"/>
      <c r="W22" s="81" t="s">
        <v>136</v>
      </c>
      <c r="X22" s="36"/>
      <c r="Y22" s="35"/>
      <c r="Z22" s="35"/>
      <c r="AA22"/>
      <c r="AB22" s="36"/>
      <c r="AC22" s="81" t="s">
        <v>137</v>
      </c>
      <c r="AD22" s="35"/>
      <c r="AE22" s="35"/>
      <c r="AF22" s="35"/>
      <c r="AG22" s="36"/>
      <c r="AH22" s="36"/>
      <c r="AI22" s="81" t="s">
        <v>138</v>
      </c>
      <c r="AJ22" s="35"/>
      <c r="AK22" s="35"/>
      <c r="AM22"/>
      <c r="AO22" s="72" t="s">
        <v>139</v>
      </c>
      <c r="AS22" s="35"/>
      <c r="AT22" s="35" t="s">
        <v>70</v>
      </c>
    </row>
    <row r="23" spans="1:49" s="72" customFormat="1" ht="13">
      <c r="A23" s="82" t="s">
        <v>140</v>
      </c>
      <c r="B23" s="56">
        <f>EXP(B51-B50+B49)</f>
        <v>5.2509655756916569</v>
      </c>
      <c r="C23" s="56">
        <f>EXP(C51-C50+C49)</f>
        <v>1.0714995940504355</v>
      </c>
      <c r="D23" s="56">
        <f>EXP(D51-D50+D49)</f>
        <v>1.6134918176591659</v>
      </c>
      <c r="E23" s="56">
        <f>EXP(E51-E50+E49)</f>
        <v>3.708587026136287</v>
      </c>
      <c r="F23" s="56">
        <f>EXP(F51-F50+F49)</f>
        <v>0.91357127590878651</v>
      </c>
      <c r="G23" s="82" t="s">
        <v>141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142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142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142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142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142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142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1">
      <c r="A24" s="35" t="str">
        <f>'aij-UNIFAC (LLE)'!B10</f>
        <v>CH3</v>
      </c>
      <c r="B24" s="57"/>
      <c r="C24" s="57">
        <v>1</v>
      </c>
      <c r="D24" s="57"/>
      <c r="E24" s="57">
        <v>1</v>
      </c>
      <c r="F24" s="57">
        <v>1</v>
      </c>
      <c r="G24" s="83">
        <f t="array" ref="G24">SUM(B24:F24*$B$22:$F$22)</f>
        <v>0.9</v>
      </c>
      <c r="H24" s="36" t="str">
        <f t="shared" ref="H24:H41" si="0">A24</f>
        <v>CH3</v>
      </c>
      <c r="I24" s="84">
        <f t="shared" ref="I24:M35" si="1">B24/B$43</f>
        <v>0</v>
      </c>
      <c r="J24" s="85">
        <f t="shared" si="1"/>
        <v>0.33333333333333331</v>
      </c>
      <c r="K24" s="85">
        <f t="shared" si="1"/>
        <v>0</v>
      </c>
      <c r="L24" s="85">
        <f t="shared" si="1"/>
        <v>0.14285714285714285</v>
      </c>
      <c r="M24" s="85">
        <f t="shared" si="1"/>
        <v>1</v>
      </c>
      <c r="N24" s="86">
        <f t="shared" ref="N24:N35" si="2">G24/$G$42</f>
        <v>0.26470588235294118</v>
      </c>
      <c r="O24" s="84">
        <f>I24*'aij-UNIFAC (LLE)'!$D10/I$42</f>
        <v>0</v>
      </c>
      <c r="P24" s="85">
        <f>J24*'aij-UNIFAC (LLE)'!$D10/J$42</f>
        <v>0.32766615146831529</v>
      </c>
      <c r="Q24" s="85">
        <f>K24*'aij-UNIFAC (LLE)'!$D10/K$42</f>
        <v>0</v>
      </c>
      <c r="R24" s="85">
        <f>L24*'aij-UNIFAC (LLE)'!$D10/L$42</f>
        <v>0.24173318129988591</v>
      </c>
      <c r="S24" s="85">
        <f>M24*'aij-UNIFAC (LLE)'!$D10/M$42</f>
        <v>1</v>
      </c>
      <c r="T24" s="87">
        <f>N24*'aij-UNIFAC (LLE)'!$D10/N$42</f>
        <v>0.27378390012914333</v>
      </c>
      <c r="U24" s="84">
        <f t="array" ref="U24:Z41">MMULT(TRANSPOSE(tauL),O24:T41)</f>
        <v>0.84821830598049519</v>
      </c>
      <c r="V24" s="88">
        <v>0.74286648329513405</v>
      </c>
      <c r="W24" s="85">
        <v>0.43013272665828584</v>
      </c>
      <c r="X24" s="85">
        <v>0.77490660649606524</v>
      </c>
      <c r="Y24" s="88">
        <v>1</v>
      </c>
      <c r="Z24" s="89">
        <v>0.7601908036850642</v>
      </c>
      <c r="AA24" s="90">
        <f t="shared" ref="AA24:AF39" si="3">O24/U24</f>
        <v>0</v>
      </c>
      <c r="AB24" s="91">
        <f t="shared" si="3"/>
        <v>0.44108350401661145</v>
      </c>
      <c r="AC24" s="91">
        <f t="shared" si="3"/>
        <v>0</v>
      </c>
      <c r="AD24" s="91">
        <f t="shared" si="3"/>
        <v>0.31195137487979768</v>
      </c>
      <c r="AE24" s="91">
        <f t="shared" si="3"/>
        <v>1</v>
      </c>
      <c r="AF24" s="86">
        <f t="shared" si="3"/>
        <v>0.36015155511216623</v>
      </c>
      <c r="AG24" s="84">
        <f t="array" ref="AG24:AL41">MMULT(tauL,AA24:AF41)</f>
        <v>0.37990883024754873</v>
      </c>
      <c r="AH24" s="85">
        <v>0.8871982326404988</v>
      </c>
      <c r="AI24" s="88">
        <v>4.0633847615573683E-2</v>
      </c>
      <c r="AJ24" s="88">
        <v>1.2454916572015557</v>
      </c>
      <c r="AK24" s="88">
        <v>1</v>
      </c>
      <c r="AL24" s="89">
        <v>0.81854247575430561</v>
      </c>
      <c r="AM24" s="92">
        <f>'aij-UNIFAC (LLE)'!$D10*(1-LN(U24)-AG24)</f>
        <v>0.66543273149002191</v>
      </c>
      <c r="AN24" s="93">
        <f>'aij-UNIFAC (LLE)'!$D10*(1-LN(V24)-AH24)</f>
        <v>0.34771452821948101</v>
      </c>
      <c r="AO24" s="93">
        <f>'aij-UNIFAC (LLE)'!$D10*(1-LN(W24)-AI24)</f>
        <v>1.5289674079032798</v>
      </c>
      <c r="AP24" s="93">
        <f>'aij-UNIFAC (LLE)'!$D10*(1-LN(X24)-AJ24)</f>
        <v>8.0738991056338427E-3</v>
      </c>
      <c r="AQ24" s="93">
        <f>'aij-UNIFAC (LLE)'!$D10*(1-LN(Y24)-AK24)</f>
        <v>0</v>
      </c>
      <c r="AR24" s="94">
        <f>'aij-UNIFAC (LLE)'!$D10*(1-LN(Z24)-AL24)</f>
        <v>0.38638555569229455</v>
      </c>
      <c r="AS24" s="35"/>
      <c r="AT24" s="137" t="s">
        <v>232</v>
      </c>
      <c r="AU24" s="198"/>
      <c r="AV24" s="199"/>
      <c r="AW24" s="198"/>
    </row>
    <row r="25" spans="1:49" s="72" customFormat="1" ht="11">
      <c r="A25" s="35" t="str">
        <f>'aij-UNIFAC (LLE)'!B11</f>
        <v>CH2</v>
      </c>
      <c r="B25" s="57"/>
      <c r="C25" s="57">
        <v>1</v>
      </c>
      <c r="D25" s="57"/>
      <c r="E25" s="57"/>
      <c r="F25" s="57"/>
      <c r="G25" s="83">
        <f t="array" ref="G25">SUM(B25:F25*$B$22:$F$22)</f>
        <v>0.9</v>
      </c>
      <c r="H25" s="36" t="str">
        <f t="shared" si="0"/>
        <v>CH2</v>
      </c>
      <c r="I25" s="95">
        <f t="shared" si="1"/>
        <v>0</v>
      </c>
      <c r="J25" s="96">
        <f t="shared" si="1"/>
        <v>0.33333333333333331</v>
      </c>
      <c r="K25" s="96">
        <f t="shared" si="1"/>
        <v>0</v>
      </c>
      <c r="L25" s="96">
        <f t="shared" si="1"/>
        <v>0</v>
      </c>
      <c r="M25" s="96">
        <f t="shared" si="1"/>
        <v>0</v>
      </c>
      <c r="N25" s="97">
        <f t="shared" si="2"/>
        <v>0.26470588235294118</v>
      </c>
      <c r="O25" s="95">
        <f>I25*'aij-UNIFAC (LLE)'!$D11/I$42</f>
        <v>0</v>
      </c>
      <c r="P25" s="96">
        <f>J25*'aij-UNIFAC (LLE)'!$D11/J$42</f>
        <v>0.20865533230293665</v>
      </c>
      <c r="Q25" s="96">
        <f>K25*'aij-UNIFAC (LLE)'!$D11/K$42</f>
        <v>0</v>
      </c>
      <c r="R25" s="96">
        <f>L25*'aij-UNIFAC (LLE)'!$D11/L$42</f>
        <v>0</v>
      </c>
      <c r="S25" s="96">
        <f>M25*'aij-UNIFAC (LLE)'!$D11/M$42</f>
        <v>0</v>
      </c>
      <c r="T25" s="98">
        <f>N25*'aij-UNIFAC (LLE)'!$D11/N$42</f>
        <v>0.1743435213086526</v>
      </c>
      <c r="U25" s="95">
        <v>0.84821830598049519</v>
      </c>
      <c r="V25" s="99">
        <v>0.74286648329513405</v>
      </c>
      <c r="W25" s="96">
        <v>0.43013272665828584</v>
      </c>
      <c r="X25" s="96">
        <v>0.77490660649606524</v>
      </c>
      <c r="Y25" s="99">
        <v>1</v>
      </c>
      <c r="Z25" s="100">
        <v>0.7601908036850642</v>
      </c>
      <c r="AA25" s="101">
        <f t="shared" si="3"/>
        <v>0</v>
      </c>
      <c r="AB25" s="102">
        <f t="shared" si="3"/>
        <v>0.28087864642567245</v>
      </c>
      <c r="AC25" s="102">
        <f t="shared" si="3"/>
        <v>0</v>
      </c>
      <c r="AD25" s="102">
        <f t="shared" si="3"/>
        <v>0</v>
      </c>
      <c r="AE25" s="102">
        <f t="shared" si="3"/>
        <v>0</v>
      </c>
      <c r="AF25" s="97">
        <f t="shared" si="3"/>
        <v>0.22934179217048323</v>
      </c>
      <c r="AG25" s="95">
        <v>0.37990883024754873</v>
      </c>
      <c r="AH25" s="96">
        <v>0.8871982326404988</v>
      </c>
      <c r="AI25" s="99">
        <v>4.0633847615573683E-2</v>
      </c>
      <c r="AJ25" s="99">
        <v>1.2454916572015557</v>
      </c>
      <c r="AK25" s="99">
        <v>1</v>
      </c>
      <c r="AL25" s="100">
        <v>0.81854247575430561</v>
      </c>
      <c r="AM25" s="103">
        <f>'aij-UNIFAC (LLE)'!$D11*(1-LN(U25)-AG25)</f>
        <v>0.42374254127902339</v>
      </c>
      <c r="AN25" s="104">
        <f>'aij-UNIFAC (LLE)'!$D11*(1-LN(V25)-AH25)</f>
        <v>0.22142198730957521</v>
      </c>
      <c r="AO25" s="104">
        <f>'aij-UNIFAC (LLE)'!$D11*(1-LN(W25)-AI25)</f>
        <v>0.97363490597614522</v>
      </c>
      <c r="AP25" s="104">
        <f>'aij-UNIFAC (LLE)'!$D11*(1-LN(X25)-AJ25)</f>
        <v>5.1413980153800411E-3</v>
      </c>
      <c r="AQ25" s="104">
        <f>'aij-UNIFAC (LLE)'!$D11*(1-LN(Y25)-AK25)</f>
        <v>0</v>
      </c>
      <c r="AR25" s="105">
        <f>'aij-UNIFAC (LLE)'!$D11*(1-LN(Z25)-AL25)</f>
        <v>0.24604740574745174</v>
      </c>
      <c r="AS25" s="35"/>
      <c r="AT25" s="137" t="s">
        <v>233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0.84821830598049519</v>
      </c>
      <c r="V26" s="99">
        <v>0.74286648329513405</v>
      </c>
      <c r="W26" s="99">
        <v>0.43013272665828584</v>
      </c>
      <c r="X26" s="99">
        <v>0.77490660649606524</v>
      </c>
      <c r="Y26" s="99">
        <v>1</v>
      </c>
      <c r="Z26" s="100">
        <v>0.7601908036850642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0.37990883024754873</v>
      </c>
      <c r="AH26" s="99">
        <v>0.8871982326404988</v>
      </c>
      <c r="AI26" s="99">
        <v>4.0633847615573683E-2</v>
      </c>
      <c r="AJ26" s="99">
        <v>1.2454916572015557</v>
      </c>
      <c r="AK26" s="99">
        <v>1</v>
      </c>
      <c r="AL26" s="100">
        <v>0.81854247575430561</v>
      </c>
      <c r="AM26" s="103">
        <f>'aij-UNIFAC (LLE)'!$D12*(1-LN(U26)-AG26)</f>
        <v>0.178913517428921</v>
      </c>
      <c r="AN26" s="104">
        <f>'aij-UNIFAC (LLE)'!$D12*(1-LN(V26)-AH26)</f>
        <v>9.3489283530709524E-2</v>
      </c>
      <c r="AO26" s="104">
        <f>'aij-UNIFAC (LLE)'!$D12*(1-LN(W26)-AI26)</f>
        <v>0.41109029363437244</v>
      </c>
      <c r="AP26" s="104">
        <f>'aij-UNIFAC (LLE)'!$D12*(1-LN(X26)-AJ26)</f>
        <v>2.1708124953826839E-3</v>
      </c>
      <c r="AQ26" s="104">
        <f>'aij-UNIFAC (LLE)'!$D12*(1-LN(Y26)-AK26)</f>
        <v>0</v>
      </c>
      <c r="AR26" s="105">
        <f>'aij-UNIFAC (LLE)'!$D12*(1-LN(Z26)-AL26)</f>
        <v>0.10388668242670183</v>
      </c>
      <c r="AS26" s="35"/>
      <c r="AT26" s="190" t="s">
        <v>234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>
        <v>4</v>
      </c>
      <c r="C27" s="57"/>
      <c r="D27" s="57"/>
      <c r="E27" s="57">
        <v>5</v>
      </c>
      <c r="F27" s="57"/>
      <c r="G27" s="83">
        <f t="array" ref="G27">SUM(B27:F27*$B$22:$F$22)</f>
        <v>0.4</v>
      </c>
      <c r="H27" s="36" t="str">
        <f t="shared" si="0"/>
        <v>ACH</v>
      </c>
      <c r="I27" s="95">
        <f t="shared" si="1"/>
        <v>0.5714285714285714</v>
      </c>
      <c r="J27" s="96">
        <f t="shared" si="1"/>
        <v>0</v>
      </c>
      <c r="K27" s="96">
        <f t="shared" si="1"/>
        <v>0</v>
      </c>
      <c r="L27" s="96">
        <f t="shared" si="1"/>
        <v>0.7142857142857143</v>
      </c>
      <c r="M27" s="96">
        <f t="shared" si="1"/>
        <v>0</v>
      </c>
      <c r="N27" s="97">
        <f t="shared" si="2"/>
        <v>0.11764705882352941</v>
      </c>
      <c r="O27" s="95">
        <f>I27*'aij-UNIFAC (LLE)'!$D13/I$42</f>
        <v>0.34904013961605584</v>
      </c>
      <c r="P27" s="96">
        <f>J27*'aij-UNIFAC (LLE)'!$D13/J$42</f>
        <v>0</v>
      </c>
      <c r="Q27" s="96">
        <f>K27*'aij-UNIFAC (LLE)'!$D13/K$42</f>
        <v>0</v>
      </c>
      <c r="R27" s="96">
        <f>L27*'aij-UNIFAC (LLE)'!$D13/L$42</f>
        <v>0.5701254275940707</v>
      </c>
      <c r="S27" s="96">
        <f>M27*'aij-UNIFAC (LLE)'!$D13/M$42</f>
        <v>0</v>
      </c>
      <c r="T27" s="98">
        <f>N27*'aij-UNIFAC (LLE)'!$D13/N$42</f>
        <v>5.7397044052231304E-2</v>
      </c>
      <c r="U27" s="95">
        <v>1.5240288828220825</v>
      </c>
      <c r="V27" s="96">
        <v>1.1859787215091786</v>
      </c>
      <c r="W27" s="96">
        <v>0.39909093824900943</v>
      </c>
      <c r="X27" s="99">
        <v>1.1610169890416751</v>
      </c>
      <c r="Y27" s="99">
        <v>1.3269235290790162</v>
      </c>
      <c r="Z27" s="100">
        <v>1.2415685457113006</v>
      </c>
      <c r="AA27" s="101">
        <f t="shared" si="3"/>
        <v>0.22902462253190994</v>
      </c>
      <c r="AB27" s="102">
        <f t="shared" si="3"/>
        <v>0</v>
      </c>
      <c r="AC27" s="102">
        <f t="shared" si="3"/>
        <v>0</v>
      </c>
      <c r="AD27" s="102">
        <f t="shared" si="3"/>
        <v>0.49105692076449525</v>
      </c>
      <c r="AE27" s="102">
        <f t="shared" si="3"/>
        <v>0</v>
      </c>
      <c r="AF27" s="97">
        <f t="shared" si="3"/>
        <v>4.6229460508238202E-2</v>
      </c>
      <c r="AG27" s="95">
        <v>0.37865147032488827</v>
      </c>
      <c r="AH27" s="99">
        <v>0.63373369325486062</v>
      </c>
      <c r="AI27" s="99">
        <v>0.12032833981603797</v>
      </c>
      <c r="AJ27" s="99">
        <v>0.84368686047144459</v>
      </c>
      <c r="AK27" s="99">
        <v>0.68003538377021311</v>
      </c>
      <c r="AL27" s="100">
        <v>0.61061270252704813</v>
      </c>
      <c r="AM27" s="103">
        <f>'aij-UNIFAC (LLE)'!$D13*(1-LN(U27)-AG27)</f>
        <v>7.9996448242899976E-2</v>
      </c>
      <c r="AN27" s="104">
        <f>'aij-UNIFAC (LLE)'!$D13*(1-LN(V27)-AH27)</f>
        <v>7.827917908899118E-2</v>
      </c>
      <c r="AO27" s="104">
        <f>'aij-UNIFAC (LLE)'!$D13*(1-LN(W27)-AI27)</f>
        <v>0.71929505313358244</v>
      </c>
      <c r="AP27" s="104">
        <f>'aij-UNIFAC (LLE)'!$D13*(1-LN(X27)-AJ27)</f>
        <v>2.8067215236130764E-3</v>
      </c>
      <c r="AQ27" s="104">
        <f>'aij-UNIFAC (LLE)'!$D13*(1-LN(Y27)-AK27)</f>
        <v>1.4840595783524924E-2</v>
      </c>
      <c r="AR27" s="105">
        <f>'aij-UNIFAC (LLE)'!$D13*(1-LN(Z27)-AL27)</f>
        <v>6.9204704408112508E-2</v>
      </c>
      <c r="AS27" s="35"/>
      <c r="AT27" s="190" t="s">
        <v>235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/>
      <c r="E28" s="57">
        <v>1</v>
      </c>
      <c r="F28" s="57"/>
      <c r="G28" s="83">
        <f t="array" ref="G28">SUM(B28:F28*$B$22:$F$22)</f>
        <v>9.9999999999999995E-21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</v>
      </c>
      <c r="L28" s="96">
        <f t="shared" si="1"/>
        <v>0.14285714285714285</v>
      </c>
      <c r="M28" s="96">
        <f t="shared" si="1"/>
        <v>0</v>
      </c>
      <c r="N28" s="97">
        <f t="shared" si="2"/>
        <v>2.9411764705882349E-21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</v>
      </c>
      <c r="R28" s="96">
        <f>L28*'aij-UNIFAC (LLE)'!$D14/L$42</f>
        <v>0.18814139110604328</v>
      </c>
      <c r="S28" s="96">
        <f>M28*'aij-UNIFAC (LLE)'!$D14/M$42</f>
        <v>0</v>
      </c>
      <c r="T28" s="98">
        <f>N28*'aij-UNIFAC (LLE)'!$D14/N$42</f>
        <v>2.3676280671545412E-21</v>
      </c>
      <c r="U28" s="95">
        <v>1.2783570277617908</v>
      </c>
      <c r="V28" s="96">
        <v>1.1754673212918454</v>
      </c>
      <c r="W28" s="96">
        <v>0.60537355058662956</v>
      </c>
      <c r="X28" s="99">
        <v>0.88741847119605644</v>
      </c>
      <c r="Y28" s="99">
        <v>1.3298693373824975</v>
      </c>
      <c r="Z28" s="100">
        <v>1.1923867650591806</v>
      </c>
      <c r="AA28" s="101">
        <f t="shared" si="3"/>
        <v>0</v>
      </c>
      <c r="AB28" s="102">
        <f t="shared" si="3"/>
        <v>0</v>
      </c>
      <c r="AC28" s="102">
        <f t="shared" si="3"/>
        <v>0</v>
      </c>
      <c r="AD28" s="102">
        <f t="shared" si="3"/>
        <v>0.21200977578533792</v>
      </c>
      <c r="AE28" s="102">
        <f t="shared" si="3"/>
        <v>0</v>
      </c>
      <c r="AF28" s="97">
        <f t="shared" si="3"/>
        <v>1.985620887897922E-21</v>
      </c>
      <c r="AG28" s="95">
        <v>0.39345258297463792</v>
      </c>
      <c r="AH28" s="99">
        <v>0.55825218392971798</v>
      </c>
      <c r="AI28" s="99">
        <v>8.0511723612174953E-7</v>
      </c>
      <c r="AJ28" s="99">
        <v>1.1582565965911993</v>
      </c>
      <c r="AK28" s="99">
        <v>0.77318425461783513</v>
      </c>
      <c r="AL28" s="100">
        <v>0.54481020035018701</v>
      </c>
      <c r="AM28" s="103">
        <f>'aij-UNIFAC (LLE)'!$D14*(1-LN(U28)-AG28)</f>
        <v>0.23824134552184162</v>
      </c>
      <c r="AN28" s="104">
        <f>'aij-UNIFAC (LLE)'!$D14*(1-LN(V28)-AH28)</f>
        <v>0.18485413801503942</v>
      </c>
      <c r="AO28" s="104">
        <f>'aij-UNIFAC (LLE)'!$D14*(1-LN(W28)-AI28)</f>
        <v>0.991259786474047</v>
      </c>
      <c r="AP28" s="104">
        <f>'aij-UNIFAC (LLE)'!$D14*(1-LN(X28)-AJ28)</f>
        <v>-2.5619861056591278E-2</v>
      </c>
      <c r="AQ28" s="104">
        <f>'aij-UNIFAC (LLE)'!$D14*(1-LN(Y28)-AK28)</f>
        <v>-3.8454866640847393E-2</v>
      </c>
      <c r="AR28" s="105">
        <f>'aij-UNIFAC (LLE)'!$D14*(1-LN(Z28)-AL28)</f>
        <v>0.18429365876015719</v>
      </c>
      <c r="AS28" s="35"/>
      <c r="AT28" s="190" t="s">
        <v>236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1.2783570277617908</v>
      </c>
      <c r="V29" s="96">
        <v>1.1754673212918454</v>
      </c>
      <c r="W29" s="96">
        <v>0.60537355058662956</v>
      </c>
      <c r="X29" s="99">
        <v>0.88741847119605644</v>
      </c>
      <c r="Y29" s="99">
        <v>1.3298693373824975</v>
      </c>
      <c r="Z29" s="100">
        <v>1.1923867650591806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0.39345258297463792</v>
      </c>
      <c r="AH29" s="99">
        <v>0.55825218392971798</v>
      </c>
      <c r="AI29" s="99">
        <v>8.0511723612174953E-7</v>
      </c>
      <c r="AJ29" s="99">
        <v>1.1582565965911993</v>
      </c>
      <c r="AK29" s="99">
        <v>0.77318425461783513</v>
      </c>
      <c r="AL29" s="100">
        <v>0.54481020035018701</v>
      </c>
      <c r="AM29" s="103">
        <f>'aij-UNIFAC (LLE)'!$D15*(1-LN(U29)-AG29)</f>
        <v>0.34942064009870105</v>
      </c>
      <c r="AN29" s="104">
        <f>'aij-UNIFAC (LLE)'!$D15*(1-LN(V29)-AH29)</f>
        <v>0.27111940242205779</v>
      </c>
      <c r="AO29" s="104">
        <f>'aij-UNIFAC (LLE)'!$D15*(1-LN(W29)-AI29)</f>
        <v>1.4538476868286021</v>
      </c>
      <c r="AP29" s="104">
        <f>'aij-UNIFAC (LLE)'!$D15*(1-LN(X29)-AJ29)</f>
        <v>-3.7575796216333876E-2</v>
      </c>
      <c r="AQ29" s="104">
        <f>'aij-UNIFAC (LLE)'!$D15*(1-LN(Y29)-AK29)</f>
        <v>-5.6400471073242843E-2</v>
      </c>
      <c r="AR29" s="105">
        <f>'aij-UNIFAC (LLE)'!$D15*(1-LN(Z29)-AL29)</f>
        <v>0.27029736618156386</v>
      </c>
      <c r="AS29" s="35"/>
      <c r="AT29" s="190" t="s">
        <v>237</v>
      </c>
      <c r="AU29" s="198"/>
      <c r="AV29" s="198"/>
      <c r="AW29" s="198"/>
    </row>
    <row r="30" spans="1:49" s="72" customFormat="1" ht="11">
      <c r="A30" s="35" t="str">
        <f>'aij-UNIFAC (LLE)'!B16</f>
        <v>OH</v>
      </c>
      <c r="B30" s="57"/>
      <c r="C30" s="57">
        <v>1</v>
      </c>
      <c r="D30" s="57"/>
      <c r="E30" s="57"/>
      <c r="F30" s="57"/>
      <c r="G30" s="83">
        <f t="array" ref="G30">SUM(B30:F30*$B$22:$F$22)</f>
        <v>0.9</v>
      </c>
      <c r="H30" s="36" t="str">
        <f t="shared" si="0"/>
        <v>OH</v>
      </c>
      <c r="I30" s="95">
        <f t="shared" si="1"/>
        <v>0</v>
      </c>
      <c r="J30" s="96">
        <f t="shared" si="1"/>
        <v>0.33333333333333331</v>
      </c>
      <c r="K30" s="96">
        <f t="shared" si="1"/>
        <v>0</v>
      </c>
      <c r="L30" s="96">
        <f t="shared" si="1"/>
        <v>0</v>
      </c>
      <c r="M30" s="96">
        <f t="shared" si="1"/>
        <v>0</v>
      </c>
      <c r="N30" s="97">
        <f t="shared" si="2"/>
        <v>0.26470588235294118</v>
      </c>
      <c r="O30" s="95">
        <f>I30*'aij-UNIFAC (LLE)'!$D16/I$42</f>
        <v>0</v>
      </c>
      <c r="P30" s="96">
        <f>J30*'aij-UNIFAC (LLE)'!$D16/J$42</f>
        <v>0.46367851622874806</v>
      </c>
      <c r="Q30" s="96">
        <f>K30*'aij-UNIFAC (LLE)'!$D16/K$42</f>
        <v>0</v>
      </c>
      <c r="R30" s="96">
        <f>L30*'aij-UNIFAC (LLE)'!$D16/L$42</f>
        <v>0</v>
      </c>
      <c r="S30" s="96">
        <f>M30*'aij-UNIFAC (LLE)'!$D16/M$42</f>
        <v>0</v>
      </c>
      <c r="T30" s="98">
        <f>N30*'aij-UNIFAC (LLE)'!$D16/N$42</f>
        <v>0.38743004735256131</v>
      </c>
      <c r="U30" s="95">
        <v>0.47391482383527295</v>
      </c>
      <c r="V30" s="96">
        <v>0.57323740870799866</v>
      </c>
      <c r="W30" s="96">
        <v>1.3520057858881673</v>
      </c>
      <c r="X30" s="99">
        <v>0.15002287960365845</v>
      </c>
      <c r="Y30" s="99">
        <v>0.20427839606361714</v>
      </c>
      <c r="Z30" s="100">
        <v>0.55690455144524309</v>
      </c>
      <c r="AA30" s="101">
        <f t="shared" si="3"/>
        <v>0</v>
      </c>
      <c r="AB30" s="102">
        <f t="shared" si="3"/>
        <v>0.8088769315907316</v>
      </c>
      <c r="AC30" s="102">
        <f t="shared" si="3"/>
        <v>0</v>
      </c>
      <c r="AD30" s="102">
        <f t="shared" si="3"/>
        <v>0</v>
      </c>
      <c r="AE30" s="102">
        <f t="shared" si="3"/>
        <v>0</v>
      </c>
      <c r="AF30" s="97">
        <f t="shared" si="3"/>
        <v>0.69568482848116009</v>
      </c>
      <c r="AG30" s="95">
        <v>0.73008748202041363</v>
      </c>
      <c r="AH30" s="99">
        <v>1.1304740442458232</v>
      </c>
      <c r="AI30" s="99">
        <v>0.93165779857703845</v>
      </c>
      <c r="AJ30" s="99">
        <v>0.85263365817132475</v>
      </c>
      <c r="AK30" s="99">
        <v>0.44544871563983901</v>
      </c>
      <c r="AL30" s="100">
        <v>1.1585460230695623</v>
      </c>
      <c r="AM30" s="103">
        <f>'aij-UNIFAC (LLE)'!$D16*(1-LN(U30)-AG30)</f>
        <v>1.2199682255568762</v>
      </c>
      <c r="AN30" s="104">
        <f>'aij-UNIFAC (LLE)'!$D16*(1-LN(V30)-AH30)</f>
        <v>0.51117753358547457</v>
      </c>
      <c r="AO30" s="104">
        <f>'aij-UNIFAC (LLE)'!$D16*(1-LN(W30)-AI30)</f>
        <v>-0.27989646683008329</v>
      </c>
      <c r="AP30" s="104">
        <f>'aij-UNIFAC (LLE)'!$D16*(1-LN(X30)-AJ30)</f>
        <v>2.4532005691861478</v>
      </c>
      <c r="AQ30" s="104">
        <f>'aij-UNIFAC (LLE)'!$D16*(1-LN(Y30)-AK30)</f>
        <v>2.5713873759001742</v>
      </c>
      <c r="AR30" s="105">
        <f>'aij-UNIFAC (LLE)'!$D16*(1-LN(Z30)-AL30)</f>
        <v>0.51217847103257264</v>
      </c>
      <c r="AS30" s="35"/>
      <c r="AT30" s="35"/>
    </row>
    <row r="31" spans="1:49" s="72" customFormat="1" ht="11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1.2779383124559169</v>
      </c>
      <c r="V31" s="96">
        <v>0.28974299152431326</v>
      </c>
      <c r="W31" s="96">
        <v>0.77223229185387998</v>
      </c>
      <c r="X31" s="99">
        <v>0.27003820029021441</v>
      </c>
      <c r="Y31" s="99">
        <v>0.46507631153774737</v>
      </c>
      <c r="Z31" s="100">
        <v>0.45224433142783138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0.68738019929530081</v>
      </c>
      <c r="AH31" s="99">
        <v>2.5678486452912663</v>
      </c>
      <c r="AI31" s="99">
        <v>0.98559205135186301</v>
      </c>
      <c r="AJ31" s="99">
        <v>1.7614642858966771</v>
      </c>
      <c r="AK31" s="99">
        <v>1.38402638323431</v>
      </c>
      <c r="AL31" s="100">
        <v>2.3371116478901204</v>
      </c>
      <c r="AM31" s="103">
        <f>'aij-UNIFAC (LLE)'!$D17*(1-LN(U31)-AG31)</f>
        <v>0.21046923681080118</v>
      </c>
      <c r="AN31" s="104">
        <f>'aij-UNIFAC (LLE)'!$D17*(1-LN(V31)-AH31)</f>
        <v>-1.0280698505497199</v>
      </c>
      <c r="AO31" s="104">
        <f>'aij-UNIFAC (LLE)'!$D17*(1-LN(W31)-AI31)</f>
        <v>0.85247033055423505</v>
      </c>
      <c r="AP31" s="104">
        <f>'aij-UNIFAC (LLE)'!$D17*(1-LN(X31)-AJ31)</f>
        <v>1.7111009022461139</v>
      </c>
      <c r="AQ31" s="104">
        <f>'aij-UNIFAC (LLE)'!$D17*(1-LN(Y31)-AK31)</f>
        <v>1.1918915750800687</v>
      </c>
      <c r="AR31" s="105">
        <f>'aij-UNIFAC (LLE)'!$D17*(1-LN(Z31)-AL31)</f>
        <v>-1.6981406677553466</v>
      </c>
      <c r="AS31" s="35"/>
      <c r="AT31" s="35"/>
    </row>
    <row r="32" spans="1:49" s="72" customFormat="1" ht="11">
      <c r="A32" s="35" t="str">
        <f>'aij-UNIFAC (LLE)'!B18</f>
        <v>H2O</v>
      </c>
      <c r="B32" s="57"/>
      <c r="C32" s="57"/>
      <c r="D32" s="57">
        <v>1</v>
      </c>
      <c r="E32" s="57"/>
      <c r="F32" s="57"/>
      <c r="G32" s="83">
        <f t="array" ref="G32">SUM(B32:F32*$B$22:$F$22)</f>
        <v>9.9999999999999995E-21</v>
      </c>
      <c r="H32" s="36" t="str">
        <f t="shared" si="0"/>
        <v>H2O</v>
      </c>
      <c r="I32" s="95">
        <f t="shared" si="1"/>
        <v>0</v>
      </c>
      <c r="J32" s="96">
        <f t="shared" si="1"/>
        <v>0</v>
      </c>
      <c r="K32" s="96">
        <f t="shared" si="1"/>
        <v>1</v>
      </c>
      <c r="L32" s="96">
        <f t="shared" si="1"/>
        <v>0</v>
      </c>
      <c r="M32" s="96">
        <f t="shared" si="1"/>
        <v>0</v>
      </c>
      <c r="N32" s="97">
        <f t="shared" si="2"/>
        <v>2.9411764705882349E-21</v>
      </c>
      <c r="O32" s="95">
        <f>I32*'aij-UNIFAC (LLE)'!$D18/I$42</f>
        <v>0</v>
      </c>
      <c r="P32" s="96">
        <f>J32*'aij-UNIFAC (LLE)'!$D18/J$42</f>
        <v>0</v>
      </c>
      <c r="Q32" s="96">
        <f>K32*'aij-UNIFAC (LLE)'!$D18/K$42</f>
        <v>1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5.0222413545702376E-21</v>
      </c>
      <c r="U32" s="95">
        <v>1.0753985236335644</v>
      </c>
      <c r="V32" s="96">
        <v>0.45378251112166246</v>
      </c>
      <c r="W32" s="96">
        <v>1</v>
      </c>
      <c r="X32" s="99">
        <v>7.8424946917747512E-2</v>
      </c>
      <c r="Y32" s="99">
        <v>4.0633847615573683E-2</v>
      </c>
      <c r="Z32" s="100">
        <v>0.55600262165956438</v>
      </c>
      <c r="AA32" s="101">
        <f t="shared" si="3"/>
        <v>0</v>
      </c>
      <c r="AB32" s="102">
        <f t="shared" si="3"/>
        <v>0</v>
      </c>
      <c r="AC32" s="102">
        <f t="shared" si="3"/>
        <v>1</v>
      </c>
      <c r="AD32" s="102">
        <f t="shared" si="3"/>
        <v>0</v>
      </c>
      <c r="AE32" s="102">
        <f t="shared" si="3"/>
        <v>0</v>
      </c>
      <c r="AF32" s="97">
        <f t="shared" si="3"/>
        <v>9.0327656002408427E-21</v>
      </c>
      <c r="AG32" s="95">
        <v>0.56275044779620109</v>
      </c>
      <c r="AH32" s="99">
        <v>1.4041458398959556</v>
      </c>
      <c r="AI32" s="99">
        <v>1</v>
      </c>
      <c r="AJ32" s="99">
        <v>0.45850197342966559</v>
      </c>
      <c r="AK32" s="99">
        <v>0.43013272665828584</v>
      </c>
      <c r="AL32" s="100">
        <v>1.3650122149104302</v>
      </c>
      <c r="AM32" s="103">
        <f>'aij-UNIFAC (LLE)'!$D18*(1-LN(U32)-AG32)</f>
        <v>0.51038153553043675</v>
      </c>
      <c r="AN32" s="104">
        <f>'aij-UNIFAC (LLE)'!$D18*(1-LN(V32)-AH32)</f>
        <v>0.54038796870652406</v>
      </c>
      <c r="AO32" s="104">
        <f>'aij-UNIFAC (LLE)'!$D18*(1-LN(W32)-AI32)</f>
        <v>0</v>
      </c>
      <c r="AP32" s="104">
        <f>'aij-UNIFAC (LLE)'!$D18*(1-LN(X32)-AJ32)</f>
        <v>4.321955719661541</v>
      </c>
      <c r="AQ32" s="104">
        <f>'aij-UNIFAC (LLE)'!$D18*(1-LN(Y32)-AK32)</f>
        <v>5.282229607096288</v>
      </c>
      <c r="AR32" s="105">
        <f>'aij-UNIFAC (LLE)'!$D18*(1-LN(Z32)-AL32)</f>
        <v>0.31075807646407605</v>
      </c>
      <c r="AS32" s="35"/>
      <c r="AT32" s="35" t="s">
        <v>90</v>
      </c>
    </row>
    <row r="33" spans="1:46" s="72" customFormat="1" ht="13">
      <c r="A33" s="35" t="str">
        <f>'aij-UNIFAC (LLE)'!B19</f>
        <v>ACOH</v>
      </c>
      <c r="B33" s="57">
        <v>1</v>
      </c>
      <c r="C33" s="57"/>
      <c r="D33" s="57"/>
      <c r="E33" s="57"/>
      <c r="F33" s="57"/>
      <c r="G33" s="83">
        <f t="array" ref="G33">SUM(B33:F33*$B$22:$F$22)</f>
        <v>0.1</v>
      </c>
      <c r="H33" s="36" t="str">
        <f t="shared" si="0"/>
        <v>ACOH</v>
      </c>
      <c r="I33" s="95">
        <f t="shared" si="1"/>
        <v>0.14285714285714285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2.9411764705882353E-2</v>
      </c>
      <c r="O33" s="95">
        <f>I33*'aij-UNIFAC (LLE)'!$D19/I$42</f>
        <v>0.14834205933682373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2.4393743722198307E-2</v>
      </c>
      <c r="U33" s="95">
        <v>2.9527327196816859</v>
      </c>
      <c r="V33" s="96">
        <v>0.75268969872450031</v>
      </c>
      <c r="W33" s="96">
        <v>0.42791282811847325</v>
      </c>
      <c r="X33" s="99">
        <v>0.10222850624325824</v>
      </c>
      <c r="Y33" s="99">
        <v>3.8632750753025977E-3</v>
      </c>
      <c r="Z33" s="100">
        <v>1.1144703418608088</v>
      </c>
      <c r="AA33" s="101">
        <f t="shared" si="3"/>
        <v>5.0238905251409102E-2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2.1888194603248538E-2</v>
      </c>
      <c r="AG33" s="95">
        <v>3.1987531751482599</v>
      </c>
      <c r="AH33" s="99">
        <v>2.015379235708012</v>
      </c>
      <c r="AI33" s="99">
        <v>4.3417455027045122</v>
      </c>
      <c r="AJ33" s="99">
        <v>2.7139112096473283</v>
      </c>
      <c r="AK33" s="99">
        <v>1.4825173130803633</v>
      </c>
      <c r="AL33" s="100">
        <v>2.6106806423712152</v>
      </c>
      <c r="AM33" s="103">
        <f>'aij-UNIFAC (LLE)'!$D19*(1-LN(U33)-AG33)</f>
        <v>-2.2314092984057847</v>
      </c>
      <c r="AN33" s="104">
        <f>'aij-UNIFAC (LLE)'!$D19*(1-LN(V33)-AH33)</f>
        <v>-0.4972683687770767</v>
      </c>
      <c r="AO33" s="104">
        <f>'aij-UNIFAC (LLE)'!$D19*(1-LN(W33)-AI33)</f>
        <v>-1.6951786136389946</v>
      </c>
      <c r="AP33" s="104">
        <f>'aij-UNIFAC (LLE)'!$D19*(1-LN(X33)-AJ33)</f>
        <v>0.38531078299102611</v>
      </c>
      <c r="AQ33" s="104">
        <f>'aij-UNIFAC (LLE)'!$D19*(1-LN(Y33)-AK33)</f>
        <v>3.4501314204033702</v>
      </c>
      <c r="AR33" s="105">
        <f>'aij-UNIFAC (LLE)'!$D19*(1-LN(Z33)-AL33)</f>
        <v>-1.168960735195788</v>
      </c>
      <c r="AS33" s="5"/>
      <c r="AT33" s="35" t="s">
        <v>91</v>
      </c>
    </row>
    <row r="34" spans="1:46" s="72" customFormat="1" ht="13">
      <c r="A34" s="35" t="str">
        <f>'aij-UNIFAC (LLE)'!B20</f>
        <v>CH3CO</v>
      </c>
      <c r="B34" s="57">
        <v>1</v>
      </c>
      <c r="C34" s="57"/>
      <c r="D34" s="57"/>
      <c r="E34" s="57"/>
      <c r="F34" s="57"/>
      <c r="G34" s="83">
        <f t="array" ref="G34">SUM(B34:F34*$B$22:$F$22)</f>
        <v>0.1</v>
      </c>
      <c r="H34" s="36" t="str">
        <f t="shared" si="0"/>
        <v>CH3CO</v>
      </c>
      <c r="I34" s="95">
        <f t="shared" si="1"/>
        <v>0.14285714285714285</v>
      </c>
      <c r="J34" s="96">
        <f t="shared" si="1"/>
        <v>0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2.9411764705882353E-2</v>
      </c>
      <c r="O34" s="95">
        <f>I34*'aij-UNIFAC (LLE)'!$D20/I$42</f>
        <v>0.32460732984293195</v>
      </c>
      <c r="P34" s="96">
        <f>J34*'aij-UNIFAC (LLE)'!$D20/J$42</f>
        <v>0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5.3379250968575119E-2</v>
      </c>
      <c r="U34" s="95">
        <v>1.5615238741763375</v>
      </c>
      <c r="V34" s="96">
        <v>0.5604282097911899</v>
      </c>
      <c r="W34" s="96">
        <v>1.5270062272903357</v>
      </c>
      <c r="X34" s="99">
        <v>0.22712615800681019</v>
      </c>
      <c r="Y34" s="99">
        <v>0.31208813982240985</v>
      </c>
      <c r="Z34" s="100">
        <v>0.72505091482568262</v>
      </c>
      <c r="AA34" s="101">
        <f t="shared" si="3"/>
        <v>0.20787855710125067</v>
      </c>
      <c r="AB34" s="102">
        <f t="shared" si="3"/>
        <v>0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7.3621382825795903E-2</v>
      </c>
      <c r="AG34" s="95">
        <v>0.69766718115662141</v>
      </c>
      <c r="AH34" s="99">
        <v>1.0878136421680347</v>
      </c>
      <c r="AI34" s="99">
        <v>0.20927111292695758</v>
      </c>
      <c r="AJ34" s="99">
        <v>1.1146656409755848</v>
      </c>
      <c r="AK34" s="99">
        <v>0.8487407671189976</v>
      </c>
      <c r="AL34" s="100">
        <v>1.1292544344941173</v>
      </c>
      <c r="AM34" s="103">
        <f>'aij-UNIFAC (LLE)'!$D20*(1-LN(U34)-AG34)</f>
        <v>-0.21327409964161417</v>
      </c>
      <c r="AN34" s="104">
        <f>'aij-UNIFAC (LLE)'!$D20*(1-LN(V34)-AH34)</f>
        <v>0.73096584160153411</v>
      </c>
      <c r="AO34" s="104">
        <f>'aij-UNIFAC (LLE)'!$D20*(1-LN(W34)-AI34)</f>
        <v>0.54672063669352777</v>
      </c>
      <c r="AP34" s="104">
        <f>'aij-UNIFAC (LLE)'!$D20*(1-LN(X34)-AJ34)</f>
        <v>2.0349650109856836</v>
      </c>
      <c r="AQ34" s="104">
        <f>'aij-UNIFAC (LLE)'!$D20*(1-LN(Y34)-AK34)</f>
        <v>1.9578045504032411</v>
      </c>
      <c r="AR34" s="105">
        <f>'aij-UNIFAC (LLE)'!$D20*(1-LN(Z34)-AL34)</f>
        <v>0.2860813395530597</v>
      </c>
      <c r="AS34" s="5"/>
      <c r="AT34" s="35" t="s">
        <v>93</v>
      </c>
    </row>
    <row r="35" spans="1:46" s="72" customFormat="1" ht="13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0.82520937099679548</v>
      </c>
      <c r="V35" s="96">
        <v>0.3776859913858151</v>
      </c>
      <c r="W35" s="96">
        <v>2.3682260793592897</v>
      </c>
      <c r="X35" s="99">
        <v>0.40659227147027788</v>
      </c>
      <c r="Y35" s="99">
        <v>0.67735972851978687</v>
      </c>
      <c r="Z35" s="100">
        <v>0.45127786870453845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0.57863323202470118</v>
      </c>
      <c r="AH35" s="99">
        <v>2.8447530024829017</v>
      </c>
      <c r="AI35" s="99">
        <v>0.21507366740587619</v>
      </c>
      <c r="AJ35" s="99">
        <v>0.93113441542231146</v>
      </c>
      <c r="AK35" s="99">
        <v>0.6976866404455524</v>
      </c>
      <c r="AL35" s="100">
        <v>2.5793619420097658</v>
      </c>
      <c r="AM35" s="103">
        <f>'aij-UNIFAC (LLE)'!$D21*(1-LN(U35)-AG35)</f>
        <v>0.58158369448452341</v>
      </c>
      <c r="AN35" s="104">
        <f>'aij-UNIFAC (LLE)'!$D21*(1-LN(V35)-AH35)</f>
        <v>-0.82576569837952785</v>
      </c>
      <c r="AO35" s="104">
        <f>'aij-UNIFAC (LLE)'!$D21*(1-LN(W35)-AI35)</f>
        <v>-7.3199680239023693E-2</v>
      </c>
      <c r="AP35" s="104">
        <f>'aij-UNIFAC (LLE)'!$D21*(1-LN(X35)-AJ35)</f>
        <v>0.9184318517908644</v>
      </c>
      <c r="AQ35" s="104">
        <f>'aij-UNIFAC (LLE)'!$D21*(1-LN(Y35)-AK35)</f>
        <v>0.65588911019456353</v>
      </c>
      <c r="AR35" s="105">
        <f>'aij-UNIFAC (LLE)'!$D21*(1-LN(Z35)-AL35)</f>
        <v>-0.74293805332691443</v>
      </c>
      <c r="AS35" s="5"/>
      <c r="AT35" s="35" t="s">
        <v>94</v>
      </c>
    </row>
    <row r="36" spans="1:46" s="72" customFormat="1" ht="13">
      <c r="A36" s="35" t="str">
        <f>'aij-UNIFAC (LLE)'!B22</f>
        <v>COOH</v>
      </c>
      <c r="B36" s="57"/>
      <c r="C36" s="57"/>
      <c r="D36" s="57"/>
      <c r="E36" s="57"/>
      <c r="F36" s="57"/>
      <c r="G36" s="83">
        <f t="array" ref="G36">SUM(B36:F36*$B$22:$F$22)</f>
        <v>0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</v>
      </c>
      <c r="L36" s="96">
        <f t="shared" si="4"/>
        <v>0</v>
      </c>
      <c r="M36" s="96">
        <f t="shared" si="4"/>
        <v>0</v>
      </c>
      <c r="N36" s="97">
        <f t="shared" ref="N36:N41" si="5">G36/$G$42</f>
        <v>0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0</v>
      </c>
      <c r="U36" s="95">
        <v>0.30845260046880063</v>
      </c>
      <c r="V36" s="96">
        <v>0.97952198042295802</v>
      </c>
      <c r="W36" s="96">
        <v>3.1502073512249531</v>
      </c>
      <c r="X36" s="99">
        <v>0.43577561341522802</v>
      </c>
      <c r="Y36" s="99">
        <v>0.70930004031513261</v>
      </c>
      <c r="Z36" s="100">
        <v>0.8691696329660108</v>
      </c>
      <c r="AA36" s="101">
        <f t="shared" si="3"/>
        <v>0</v>
      </c>
      <c r="AB36" s="102">
        <f t="shared" si="3"/>
        <v>0</v>
      </c>
      <c r="AC36" s="102">
        <f t="shared" si="3"/>
        <v>0</v>
      </c>
      <c r="AD36" s="102">
        <f t="shared" si="3"/>
        <v>0</v>
      </c>
      <c r="AE36" s="102">
        <f t="shared" si="3"/>
        <v>0</v>
      </c>
      <c r="AF36" s="97">
        <f t="shared" si="3"/>
        <v>0</v>
      </c>
      <c r="AG36" s="95">
        <v>0.51711894719442197</v>
      </c>
      <c r="AH36" s="99">
        <v>0.61402880606444121</v>
      </c>
      <c r="AI36" s="99">
        <v>0.20043925300260515</v>
      </c>
      <c r="AJ36" s="99">
        <v>0.55943416113524624</v>
      </c>
      <c r="AK36" s="99">
        <v>1.3607228487842404E-2</v>
      </c>
      <c r="AL36" s="100">
        <v>0.6847346665863</v>
      </c>
      <c r="AM36" s="103">
        <f>'aij-UNIFAC (LLE)'!$D22*(1-LN(U36)-AG36)</f>
        <v>2.0306994099754232</v>
      </c>
      <c r="AN36" s="104">
        <f>'aij-UNIFAC (LLE)'!$D22*(1-LN(V36)-AH36)</f>
        <v>0.49775403748716945</v>
      </c>
      <c r="AO36" s="104">
        <f>'aij-UNIFAC (LLE)'!$D22*(1-LN(W36)-AI36)</f>
        <v>-0.42583881605833529</v>
      </c>
      <c r="AP36" s="104">
        <f>'aij-UNIFAC (LLE)'!$D22*(1-LN(X36)-AJ36)</f>
        <v>1.5559410338483621</v>
      </c>
      <c r="AQ36" s="104">
        <f>'aij-UNIFAC (LLE)'!$D22*(1-LN(Y36)-AK36)</f>
        <v>1.6277601767487693</v>
      </c>
      <c r="AR36" s="105">
        <f>'aij-UNIFAC (LLE)'!$D22*(1-LN(Z36)-AL36)</f>
        <v>0.55751033689694529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2.0503538278558766</v>
      </c>
      <c r="V37" s="96">
        <v>0.33520819583743067</v>
      </c>
      <c r="W37" s="96">
        <v>1.0156941351581315</v>
      </c>
      <c r="X37" s="99">
        <v>0.58377730011932183</v>
      </c>
      <c r="Y37" s="99">
        <v>9.1085277291431094E-2</v>
      </c>
      <c r="Z37" s="100">
        <v>0.61725108495970626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0.56879262637943895</v>
      </c>
      <c r="AH37" s="99">
        <v>2.1070781895358692</v>
      </c>
      <c r="AI37" s="99">
        <v>0.38641478734573775</v>
      </c>
      <c r="AJ37" s="99">
        <v>1.3788492443411324</v>
      </c>
      <c r="AK37" s="99">
        <v>2.2005669737524269</v>
      </c>
      <c r="AL37" s="100">
        <v>1.9151930409573743</v>
      </c>
      <c r="AM37" s="103">
        <f>'aij-UNIFAC (LLE)'!$D23*(1-LN(U37)-AG37)</f>
        <v>-0.49559904620413536</v>
      </c>
      <c r="AN37" s="104">
        <f>'aij-UNIFAC (LLE)'!$D23*(1-LN(V37)-AH37)</f>
        <v>-2.432113249261178E-2</v>
      </c>
      <c r="AO37" s="104">
        <f>'aij-UNIFAC (LLE)'!$D23*(1-LN(W37)-AI37)</f>
        <v>1.0333663895141194</v>
      </c>
      <c r="AP37" s="104">
        <f>'aij-UNIFAC (LLE)'!$D23*(1-LN(X37)-AJ37)</f>
        <v>0.27541980279659878</v>
      </c>
      <c r="AQ37" s="104">
        <f>'aij-UNIFAC (LLE)'!$D23*(1-LN(Y37)-AK37)</f>
        <v>2.0656375910263742</v>
      </c>
      <c r="AR37" s="105">
        <f>'aij-UNIFAC (LLE)'!$D23*(1-LN(Z37)-AL37)</f>
        <v>-0.74772918362369767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0.9692909062056525</v>
      </c>
      <c r="V38" s="96">
        <v>0.34777469328542504</v>
      </c>
      <c r="W38" s="96">
        <v>0.85322789845515046</v>
      </c>
      <c r="X38" s="99">
        <v>0.68530262584419765</v>
      </c>
      <c r="Y38" s="99">
        <v>0.19565724355780065</v>
      </c>
      <c r="Z38" s="100">
        <v>0.44997839252585847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0.53539657257758122</v>
      </c>
      <c r="AH38" s="99">
        <v>0.59204268600520549</v>
      </c>
      <c r="AI38" s="99">
        <v>0.59195086276789954</v>
      </c>
      <c r="AJ38" s="99">
        <v>0.61869373743558698</v>
      </c>
      <c r="AK38" s="99">
        <v>2.0839850012723638E-2</v>
      </c>
      <c r="AL38" s="100">
        <v>0.65917255223625049</v>
      </c>
      <c r="AM38" s="103">
        <f>'aij-UNIFAC (LLE)'!$D24*(1-LN(U38)-AG38)</f>
        <v>0.38671926287756192</v>
      </c>
      <c r="AN38" s="104">
        <f>'aij-UNIFAC (LLE)'!$D24*(1-LN(V38)-AH38)</f>
        <v>1.1420430496531864</v>
      </c>
      <c r="AO38" s="104">
        <f>'aij-UNIFAC (LLE)'!$D24*(1-LN(W38)-AI38)</f>
        <v>0.44208663060146708</v>
      </c>
      <c r="AP38" s="104">
        <f>'aij-UNIFAC (LLE)'!$D24*(1-LN(X38)-AJ38)</f>
        <v>0.59217678880699831</v>
      </c>
      <c r="AQ38" s="104">
        <f>'aij-UNIFAC (LLE)'!$D24*(1-LN(Y38)-AK38)</f>
        <v>2.0362298252073976</v>
      </c>
      <c r="AR38" s="105">
        <f>'aij-UNIFAC (LLE)'!$D24*(1-LN(Z38)-AL38)</f>
        <v>0.88871886615997608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1.3568744777820623</v>
      </c>
      <c r="V39" s="96">
        <v>1.2152853310724232</v>
      </c>
      <c r="W39" s="96">
        <v>0.4011613164495576</v>
      </c>
      <c r="X39" s="99">
        <v>1.1991568611215302</v>
      </c>
      <c r="Y39" s="99">
        <v>1.8238706000168967</v>
      </c>
      <c r="Z39" s="100">
        <v>1.2385686087491696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0.43382746127342658</v>
      </c>
      <c r="AH39" s="99">
        <v>0.8295166855640751</v>
      </c>
      <c r="AI39" s="99">
        <v>0.16132741753108709</v>
      </c>
      <c r="AJ39" s="99">
        <v>0.99429360453296622</v>
      </c>
      <c r="AK39" s="99">
        <v>0.93356507274683387</v>
      </c>
      <c r="AL39" s="100">
        <v>0.79454379472255898</v>
      </c>
      <c r="AM39" s="103">
        <f>'aij-UNIFAC (LLE)'!$D25*(1-LN(U39)-AG39)</f>
        <v>0.43950490671429165</v>
      </c>
      <c r="AN39" s="104">
        <f>'aij-UNIFAC (LLE)'!$D25*(1-LN(V39)-AH39)</f>
        <v>-4.1250548594236533E-2</v>
      </c>
      <c r="AO39" s="104">
        <f>'aij-UNIFAC (LLE)'!$D25*(1-LN(W39)-AI39)</f>
        <v>2.9504761626955625</v>
      </c>
      <c r="AP39" s="104">
        <f>'aij-UNIFAC (LLE)'!$D25*(1-LN(X39)-AJ39)</f>
        <v>-0.29623631091775637</v>
      </c>
      <c r="AQ39" s="104">
        <f>'aij-UNIFAC (LLE)'!$D25*(1-LN(Y39)-AK39)</f>
        <v>-0.90014181584310815</v>
      </c>
      <c r="AR39" s="105">
        <f>'aij-UNIFAC (LLE)'!$D25*(1-LN(Z39)-AL39)</f>
        <v>-1.4314269076256719E-2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1.3848639347858271</v>
      </c>
      <c r="V40" s="96">
        <v>1.0661389947874791</v>
      </c>
      <c r="W40" s="96">
        <v>0.41513872381840344</v>
      </c>
      <c r="X40" s="99">
        <v>1.440700925065155</v>
      </c>
      <c r="Y40" s="99">
        <v>0.98168996942530318</v>
      </c>
      <c r="Z40" s="100">
        <v>1.1185509306804489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1.8743659237310248</v>
      </c>
      <c r="AH40" s="99">
        <v>0.97367544777067327</v>
      </c>
      <c r="AI40" s="99">
        <v>0.14164708151673475</v>
      </c>
      <c r="AJ40" s="99">
        <v>0.73243168452387264</v>
      </c>
      <c r="AK40" s="99">
        <v>0.94903465207294069</v>
      </c>
      <c r="AL40" s="100">
        <v>1.443429402979244</v>
      </c>
      <c r="AM40" s="103">
        <f>'aij-UNIFAC (LLE)'!$D26*(1-LN(U40)-AG40)</f>
        <v>-2.6207297112630128</v>
      </c>
      <c r="AN40" s="104">
        <f>'aij-UNIFAC (LLE)'!$D26*(1-LN(V40)-AH40)</f>
        <v>-8.2378632599955134E-2</v>
      </c>
      <c r="AO40" s="104">
        <f>'aij-UNIFAC (LLE)'!$D26*(1-LN(W40)-AI40)</f>
        <v>3.7946900820862148</v>
      </c>
      <c r="AP40" s="104">
        <f>'aij-UNIFAC (LLE)'!$D26*(1-LN(X40)-AJ40)</f>
        <v>-0.21307417011575655</v>
      </c>
      <c r="AQ40" s="104">
        <f>'aij-UNIFAC (LLE)'!$D26*(1-LN(Y40)-AK40)</f>
        <v>0.15166805869245886</v>
      </c>
      <c r="AR40" s="105">
        <f>'aij-UNIFAC (LLE)'!$D26*(1-LN(Z40)-AL40)</f>
        <v>-1.2131321501132826</v>
      </c>
      <c r="AS40" s="5"/>
      <c r="AT40" s="5"/>
    </row>
    <row r="41" spans="1:46">
      <c r="A41" s="35" t="str">
        <f>'aij-UNIFAC (LLE)'!B27</f>
        <v>ACNH2</v>
      </c>
      <c r="B41" s="57">
        <v>1</v>
      </c>
      <c r="C41" s="57"/>
      <c r="D41" s="57"/>
      <c r="E41" s="57"/>
      <c r="F41" s="57"/>
      <c r="G41" s="83">
        <f t="array" ref="G41">SUM(B41:F41*$B$22:$F$22)</f>
        <v>0.1</v>
      </c>
      <c r="H41" s="36" t="str">
        <f t="shared" si="0"/>
        <v>ACNH2</v>
      </c>
      <c r="I41" s="107">
        <f t="shared" si="4"/>
        <v>0.14285714285714285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2.9411764705882353E-2</v>
      </c>
      <c r="O41" s="107">
        <f>I41*'aij-UNIFAC (LLE)'!$D27/I$42</f>
        <v>0.17801047120418848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2.9272492466637962E-2</v>
      </c>
      <c r="U41" s="107">
        <v>1.7619373843790695</v>
      </c>
      <c r="V41" s="108">
        <v>1.1515811011956607</v>
      </c>
      <c r="W41" s="108">
        <v>1.3106763532625894</v>
      </c>
      <c r="X41" s="111">
        <v>0.62840189069970886</v>
      </c>
      <c r="Y41" s="111">
        <v>0.10828498373142133</v>
      </c>
      <c r="Z41" s="112">
        <v>1.2519496333420495</v>
      </c>
      <c r="AA41" s="113">
        <f t="shared" si="6"/>
        <v>0.10103109950579871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2.3381525651711522E-2</v>
      </c>
      <c r="AG41" s="107">
        <v>0.93734892502243772</v>
      </c>
      <c r="AH41" s="111">
        <v>0.68784715442621713</v>
      </c>
      <c r="AI41" s="111">
        <v>1.8055381504365402</v>
      </c>
      <c r="AJ41" s="111">
        <v>1.2646199280179231</v>
      </c>
      <c r="AK41" s="111">
        <v>0.64845351251781025</v>
      </c>
      <c r="AL41" s="112">
        <v>0.86506934355759146</v>
      </c>
      <c r="AM41" s="115">
        <f>'aij-UNIFAC (LLE)'!$D27*(1-LN(U41)-AG41)</f>
        <v>-0.41107053882786032</v>
      </c>
      <c r="AN41" s="116">
        <f>'aij-UNIFAC (LLE)'!$D27*(1-LN(V41)-AH41)</f>
        <v>0.13954985312012019</v>
      </c>
      <c r="AO41" s="116">
        <f>'aij-UNIFAC (LLE)'!$D27*(1-LN(W41)-AI41)</f>
        <v>-0.87808246696417536</v>
      </c>
      <c r="AP41" s="116">
        <f>'aij-UNIFAC (LLE)'!$D27*(1-LN(X41)-AJ41)</f>
        <v>0.16316363564164588</v>
      </c>
      <c r="AQ41" s="116">
        <f>'aij-UNIFAC (LLE)'!$D27*(1-LN(Y41)-AK41)</f>
        <v>2.100820785578001</v>
      </c>
      <c r="AR41" s="117">
        <f>'aij-UNIFAC (LLE)'!$D27*(1-LN(Z41)-AL41)</f>
        <v>-7.3253451356474347E-2</v>
      </c>
      <c r="AS41" s="5"/>
      <c r="AT41" s="5"/>
    </row>
    <row r="42" spans="1:46">
      <c r="A42" s="82" t="s">
        <v>143</v>
      </c>
      <c r="B42" s="83">
        <f>B22*SUM(B24:B41)</f>
        <v>0.70000000000000007</v>
      </c>
      <c r="C42" s="83">
        <f>C22*SUM(C24:C41)</f>
        <v>2.7</v>
      </c>
      <c r="D42" s="83">
        <f>D22*SUM(D24:D41)</f>
        <v>9.9999999999999995E-21</v>
      </c>
      <c r="E42" s="83">
        <f>E22*SUM(E24:E41)</f>
        <v>7.0000000000000001E-20</v>
      </c>
      <c r="F42" s="83">
        <f>F22*SUM(F24:F41)</f>
        <v>9.9999999999999995E-21</v>
      </c>
      <c r="G42" s="83">
        <f>SUM(B42:F42)</f>
        <v>3.4000000000000004</v>
      </c>
      <c r="H42" s="118" t="s">
        <v>144</v>
      </c>
      <c r="I42" s="36">
        <f t="array" ref="I42">SUM(I24:I41*_QL)</f>
        <v>0.6548571428571428</v>
      </c>
      <c r="J42" s="36">
        <f t="array" ref="J42">SUM(J24:J41*_QL)</f>
        <v>0.86266666666666658</v>
      </c>
      <c r="K42" s="36">
        <f t="array" ref="K42">SUM(K24:K41*_QL)</f>
        <v>1.4</v>
      </c>
      <c r="L42" s="36">
        <f t="array" ref="L42">SUM(L24:L41*_QL)</f>
        <v>0.50114285714285722</v>
      </c>
      <c r="M42" s="36">
        <f t="array" ref="M42">SUM(M24:M41*_QL)</f>
        <v>0.84799999999999998</v>
      </c>
      <c r="N42" s="36">
        <f t="array" ref="N42">SUM(N24:N41*_QL)</f>
        <v>0.81988235294117651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145</v>
      </c>
      <c r="B43" s="119">
        <f>SUM(B24:B41)</f>
        <v>7</v>
      </c>
      <c r="C43" s="119">
        <f>SUM(C24:C41)</f>
        <v>3</v>
      </c>
      <c r="D43" s="119">
        <f>SUM(D24:D41)</f>
        <v>1</v>
      </c>
      <c r="E43" s="119">
        <f>SUM(E24:E41)</f>
        <v>7</v>
      </c>
      <c r="F43" s="119">
        <f>SUM(F24:F41)</f>
        <v>1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4.5840000000000005</v>
      </c>
      <c r="C45" s="58">
        <f t="array" ref="C45">SUM(C24:C41*_QL)</f>
        <v>2.5880000000000001</v>
      </c>
      <c r="D45" s="58">
        <f t="array" ref="D45">SUM(D24:D41*_QL)</f>
        <v>1.4</v>
      </c>
      <c r="E45" s="58">
        <f t="array" ref="E45">SUM(E24:E41*_QL)</f>
        <v>3.508</v>
      </c>
      <c r="F45" s="58">
        <f t="array" ref="F45">SUM(F24:F41*_QL)</f>
        <v>0.84799999999999998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5.7528000000000006</v>
      </c>
      <c r="C46" s="58">
        <f t="array" ref="C46">SUM(C24:C41*_RL)</f>
        <v>2.5754999999999999</v>
      </c>
      <c r="D46" s="58">
        <f t="array" ref="D46">SUM(D24:D41*_RL)</f>
        <v>0.92</v>
      </c>
      <c r="E46" s="58">
        <f t="array" ref="E46">SUM(E24:E41*_RL)</f>
        <v>4.5972</v>
      </c>
      <c r="F46" s="58">
        <f t="array" ref="F46">SUM(F24:F41*_RL)</f>
        <v>0.90110000000000001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146</v>
      </c>
      <c r="B47" s="58">
        <f>B22*B45/SUMPRODUCT($B45:$F45,$B22:$F22)</f>
        <v>0.16444253120964272</v>
      </c>
      <c r="C47" s="58">
        <f>C22*C45/SUMPRODUCT($B45:$F45,$B22:$F22)</f>
        <v>0.83555746879035731</v>
      </c>
      <c r="D47" s="58">
        <f>D22*D45/SUMPRODUCT($B45:$F45,$B22:$F22)</f>
        <v>5.0222413545702384E-21</v>
      </c>
      <c r="E47" s="58">
        <f>E22*E45/SUMPRODUCT($B45:$F45,$B22:$F22)</f>
        <v>1.2584301908451713E-20</v>
      </c>
      <c r="F47" s="58">
        <f>F22*F45/SUMPRODUCT($B45:$F45,$B22:$F22)</f>
        <v>3.0420433347682588E-21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147</v>
      </c>
      <c r="B48" s="58">
        <f>B22*B46/SUMPRODUCT($B46:$F46,$B22:$F22)</f>
        <v>0.19883659439450027</v>
      </c>
      <c r="C48" s="58">
        <f>C22*C46/SUMPRODUCT($B46:$F46,$B22:$F22)</f>
        <v>0.8011634056054997</v>
      </c>
      <c r="D48" s="58">
        <f>D22*D46/SUMPRODUCT($B46:$F46,$B22:$F22)</f>
        <v>3.1798370679137155E-21</v>
      </c>
      <c r="E48" s="58">
        <f>E22*E46/SUMPRODUCT($B46:$F46,$B22:$F22)</f>
        <v>1.5889507574579274E-20</v>
      </c>
      <c r="F48" s="58">
        <f>F22*F46/SUMPRODUCT($B46:$F46,$B22:$F22)</f>
        <v>3.1145121542359225E-21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148</v>
      </c>
      <c r="B49" s="58">
        <f>LN(B48/B22)+(1-B48/B22)-5*B45*(LN(B48/B47)+(1-B48/B47))</f>
        <v>0.13977495180631599</v>
      </c>
      <c r="C49" s="58">
        <f>LN(C48/C22)+(1-C48/C22)-5*C45*(LN(C48/C47)+(1-C48/C47))</f>
        <v>4.7617737126318914E-3</v>
      </c>
      <c r="D49" s="58">
        <f>LN(D48/D22)+(1-D48/D22)-5*D45*(LN(D48/D47)+(1-D48/D47))</f>
        <v>0.16764258485796257</v>
      </c>
      <c r="E49" s="58">
        <f>LN(E48/E22)+(1-E48/E22)-5*E45*(LN(E48/E47)+(1-E48/E47))</f>
        <v>0.3904358577606945</v>
      </c>
      <c r="F49" s="58">
        <f>LN(F48/F22)+(1-F48/F22)-5*F45*(LN(F48/F47)+(1-F48/F47))</f>
        <v>-0.47677943682213164</v>
      </c>
      <c r="G49" s="121"/>
      <c r="I49" s="122"/>
    </row>
    <row r="50" spans="1:9">
      <c r="A50" s="72" t="s">
        <v>149</v>
      </c>
      <c r="B50" s="58">
        <f t="array" ref="B50">SUM(B24:B36*AM24:AM36)</f>
        <v>-2.1246976050757991</v>
      </c>
      <c r="C50" s="58">
        <f t="array" ref="C50">SUM(C24:C36*AN24:AN36)</f>
        <v>1.0803140491145307</v>
      </c>
      <c r="D50" s="58">
        <f t="array" ref="D50">SUM(D24:D36*AO24:AO36)</f>
        <v>0</v>
      </c>
      <c r="E50" s="58">
        <f t="array" ref="E50">SUM(E24:E36*AP24:AP36)</f>
        <v>-3.512354332892053E-3</v>
      </c>
      <c r="F50" s="58">
        <f t="array" ref="F50">SUM(F24:F36*AQ24:AQ36)</f>
        <v>0</v>
      </c>
      <c r="G50" s="121"/>
    </row>
    <row r="51" spans="1:9">
      <c r="A51" s="72" t="s">
        <v>150</v>
      </c>
      <c r="B51" s="58">
        <f t="array" ref="B51">SUM(B24:B36*$AR24:$AR36)</f>
        <v>-0.60606057801027835</v>
      </c>
      <c r="C51" s="58">
        <f t="array" ref="C51">SUM(C24:C36*$AR24:$AR36)</f>
        <v>1.1446114324723189</v>
      </c>
      <c r="D51" s="58">
        <f t="array" ref="D51">SUM(D24:D36*$AR24:$AR36)</f>
        <v>0.31075807646407605</v>
      </c>
      <c r="E51" s="58">
        <f t="array" ref="E51">SUM(E24:E36*$AR24:$AR36)</f>
        <v>0.91670273649301426</v>
      </c>
      <c r="F51" s="58">
        <f t="array" ref="F51">SUM(F24:F36*$AR24:$AR36)</f>
        <v>0.38638555569229455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1">
    <pageSetUpPr fitToPage="1"/>
  </sheetPr>
  <dimension ref="A1:AV50"/>
  <sheetViews>
    <sheetView showGridLines="0" zoomScale="150" zoomScaleNormal="150" zoomScalePageLayoutView="150" workbookViewId="0">
      <selection activeCell="AT23" sqref="AT23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303</v>
      </c>
      <c r="B1" s="144"/>
      <c r="C1" s="144"/>
    </row>
    <row r="2" spans="1:46">
      <c r="A2" s="144" t="s">
        <v>302</v>
      </c>
      <c r="B2" s="144"/>
      <c r="C2" s="144"/>
    </row>
    <row r="3" spans="1:46">
      <c r="A3" s="144" t="s">
        <v>300</v>
      </c>
      <c r="B3" s="144"/>
      <c r="C3" s="144"/>
    </row>
    <row r="4" spans="1:46">
      <c r="A4" s="144" t="s">
        <v>301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113</v>
      </c>
      <c r="E8" s="47" t="s">
        <v>114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115</v>
      </c>
      <c r="B9" s="144">
        <f t="array" ref="B9">SUM(B21:F21*B22:F22*B16:F16)</f>
        <v>6718.9962788427629</v>
      </c>
      <c r="C9" s="144" t="s">
        <v>116</v>
      </c>
      <c r="D9" s="48" t="s">
        <v>117</v>
      </c>
      <c r="E9" s="49"/>
      <c r="F9" s="49"/>
      <c r="G9" s="49"/>
      <c r="X9" s="35"/>
      <c r="AN9"/>
      <c r="AS9" s="188" t="s">
        <v>118</v>
      </c>
    </row>
    <row r="10" spans="1:46">
      <c r="A10" s="144" t="s">
        <v>178</v>
      </c>
      <c r="B10" s="192">
        <f>'UNIFAC (LLEa)'!TC.</f>
        <v>132.69999999999999</v>
      </c>
      <c r="C10" s="146" t="s">
        <v>119</v>
      </c>
      <c r="D10" s="50" t="s">
        <v>120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121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1">
      <c r="B12" s="36" t="s">
        <v>122</v>
      </c>
      <c r="C12" s="36" t="s">
        <v>123</v>
      </c>
      <c r="D12" s="36" t="s">
        <v>124</v>
      </c>
      <c r="E12" s="36" t="s">
        <v>125</v>
      </c>
      <c r="F12" s="36" t="s">
        <v>126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1">
      <c r="A13" s="35" t="s">
        <v>127</v>
      </c>
      <c r="B13" s="193">
        <f>'UNIFAC (LLEa)'!B14</f>
        <v>8.0809700000000007</v>
      </c>
      <c r="C13" s="193">
        <f>'UNIFAC (LLEa)'!C14</f>
        <v>7.2647529999999998</v>
      </c>
      <c r="D13" s="193">
        <f>'UNIFAC (LLEa)'!D14</f>
        <v>0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128</v>
      </c>
      <c r="B14" s="193">
        <f>'UNIFAC (LLEa)'!B15</f>
        <v>1582.271</v>
      </c>
      <c r="C14" s="193">
        <f>'UNIFAC (LLEa)'!C15</f>
        <v>1434.1479999999999</v>
      </c>
      <c r="D14" s="193">
        <f>'UNIFAC (LLEa)'!D15</f>
        <v>0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239</v>
      </c>
    </row>
    <row r="15" spans="1:46" s="72" customFormat="1" ht="11">
      <c r="A15" s="35" t="s">
        <v>129</v>
      </c>
      <c r="B15" s="193">
        <f>'UNIFAC (LLEa)'!B16</f>
        <v>239.726</v>
      </c>
      <c r="C15" s="193">
        <f>'UNIFAC (LLEa)'!C16</f>
        <v>246.72069999999999</v>
      </c>
      <c r="D15" s="193">
        <f>'UNIFAC (LLEa)'!D16</f>
        <v>0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3">
      <c r="A16" s="35" t="s">
        <v>130</v>
      </c>
      <c r="B16" s="193">
        <f>'UNIFAC (LLEa)'!B17</f>
        <v>6798.5862240933047</v>
      </c>
      <c r="C16" s="193">
        <f>'UNIFAC (LLEa)'!C17</f>
        <v>3054.3377184379374</v>
      </c>
      <c r="D16" s="193">
        <f>'UNIFAC (LLEa)'!D17</f>
        <v>1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1">
      <c r="A17" s="35" t="s">
        <v>131</v>
      </c>
      <c r="B17" s="194">
        <f>'UNIFAC (LLEa)'!B18</f>
        <v>0.5479224790737407</v>
      </c>
      <c r="C17" s="194">
        <f>'UNIFAC (LLEa)'!C18</f>
        <v>0.45207752092625936</v>
      </c>
      <c r="D17" s="194">
        <f>'UNIFAC (LLEa)'!D18</f>
        <v>2.476441677780747E-24</v>
      </c>
      <c r="E17" s="194">
        <f>'UNIFAC (LLEa)'!E18</f>
        <v>5.6920644881391683E-24</v>
      </c>
      <c r="F17" s="194">
        <f>'UNIFAC (LLEa)'!F18</f>
        <v>1.4021800163611141E-24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1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1">
      <c r="B19" s="36" t="s">
        <v>122</v>
      </c>
      <c r="C19" s="36" t="s">
        <v>123</v>
      </c>
      <c r="D19" s="36" t="s">
        <v>124</v>
      </c>
      <c r="E19" s="36" t="s">
        <v>125</v>
      </c>
      <c r="F19" s="36" t="s">
        <v>126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3">
      <c r="A20" s="35"/>
      <c r="B20" s="261" t="str">
        <f>'UNIFAC (LLEa)'!B21</f>
        <v>Para</v>
      </c>
      <c r="C20" s="261" t="str">
        <f>'UNIFAC (LLEa)'!C21</f>
        <v>EtOH</v>
      </c>
      <c r="D20" s="261" t="str">
        <f>'UNIFAC (LLEa)'!D21</f>
        <v>Water</v>
      </c>
      <c r="E20" s="262" t="str">
        <f>'UNIFAC (LLEa)'!E21</f>
        <v>ethyl benzene</v>
      </c>
      <c r="F20" s="261" t="str">
        <f>'UNIFAC (LLEa)'!F21</f>
        <v>none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5">
      <c r="A21" s="72" t="s">
        <v>85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134</v>
      </c>
      <c r="L21" s="36"/>
      <c r="M21"/>
      <c r="N21"/>
      <c r="O21"/>
      <c r="P21"/>
      <c r="Q21" s="80" t="s">
        <v>135</v>
      </c>
      <c r="R21" s="36"/>
      <c r="S21" s="36"/>
      <c r="T21" s="36"/>
      <c r="U21"/>
      <c r="V21" s="35"/>
      <c r="W21" s="81" t="s">
        <v>136</v>
      </c>
      <c r="X21" s="36"/>
      <c r="Y21" s="35"/>
      <c r="Z21" s="35"/>
      <c r="AA21"/>
      <c r="AB21" s="36"/>
      <c r="AC21" s="81" t="s">
        <v>137</v>
      </c>
      <c r="AD21" s="35"/>
      <c r="AE21" s="35"/>
      <c r="AF21" s="35"/>
      <c r="AG21" s="36"/>
      <c r="AH21" s="36"/>
      <c r="AI21" s="81" t="s">
        <v>138</v>
      </c>
      <c r="AJ21" s="35"/>
      <c r="AK21" s="35"/>
      <c r="AM21"/>
      <c r="AO21" s="72" t="s">
        <v>139</v>
      </c>
      <c r="AS21" s="35"/>
      <c r="AT21" s="35"/>
    </row>
    <row r="22" spans="1:48" s="72" customFormat="1" ht="13">
      <c r="A22" s="82" t="s">
        <v>140</v>
      </c>
      <c r="B22" s="56">
        <f>EXP(B50-B49+B48)</f>
        <v>1.0390259060019562</v>
      </c>
      <c r="C22" s="56">
        <f>EXP(C50-C49+C48)</f>
        <v>2.9655198358748689</v>
      </c>
      <c r="D22" s="56">
        <f>EXP(D50-D49+D48)</f>
        <v>1.8949167676154537</v>
      </c>
      <c r="E22" s="56">
        <f>EXP(E50-E49+E48)</f>
        <v>3.9766661101437926</v>
      </c>
      <c r="F22" s="56">
        <f>EXP(F50-F49+F48)</f>
        <v>0.82680242383493041</v>
      </c>
      <c r="G22" s="82" t="s">
        <v>141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142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142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142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142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142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142</v>
      </c>
      <c r="AS22" s="35"/>
      <c r="AT22" s="142"/>
    </row>
    <row r="23" spans="1:48" s="72" customFormat="1" ht="11">
      <c r="A23" s="35" t="str">
        <f>'aij-UNIFAC (LLE)'!B10</f>
        <v>CH3</v>
      </c>
      <c r="B23" s="193">
        <f>'UNIFAC (LLEa)'!B24</f>
        <v>0</v>
      </c>
      <c r="C23" s="193">
        <f>'UNIFAC (LLEa)'!C24</f>
        <v>1</v>
      </c>
      <c r="D23" s="193">
        <f>'UNIFAC (LLEa)'!D24</f>
        <v>0</v>
      </c>
      <c r="E23" s="193">
        <f>'UNIFAC (LLEa)'!E24</f>
        <v>1</v>
      </c>
      <c r="F23" s="193">
        <f>'UNIFAC (LLEa)'!F24</f>
        <v>1</v>
      </c>
      <c r="G23" s="83">
        <f t="array" ref="G23">SUM(B23:F23*$B$21:$F$21)</f>
        <v>0.13900001042726937</v>
      </c>
      <c r="H23" s="36" t="str">
        <f t="shared" ref="H23:H40" si="0">A23</f>
        <v>CH3</v>
      </c>
      <c r="I23" s="84">
        <f t="shared" ref="I23:I40" si="1">B23/B$42</f>
        <v>0</v>
      </c>
      <c r="J23" s="85">
        <f t="shared" ref="J23:J40" si="2">C23/C$42</f>
        <v>0.33333333333333331</v>
      </c>
      <c r="K23" s="85">
        <f t="shared" ref="K23:K40" si="3">D23/D$42</f>
        <v>0</v>
      </c>
      <c r="L23" s="85">
        <f t="shared" ref="L23:L40" si="4">E23/E$42</f>
        <v>0.14285714285714285</v>
      </c>
      <c r="M23" s="85">
        <f t="shared" ref="M23:M40" si="5">F23/F$42</f>
        <v>1</v>
      </c>
      <c r="N23" s="86">
        <f t="shared" ref="N23:N40" si="6">G23/$G$41</f>
        <v>2.3497601241219544E-2</v>
      </c>
      <c r="O23" s="84">
        <f>I23*'aij-UNIFAC (LLE)'!$D10/I$41</f>
        <v>0</v>
      </c>
      <c r="P23" s="85">
        <f>J23*'aij-UNIFAC (LLE)'!$D10/J$41</f>
        <v>0.32766615146831529</v>
      </c>
      <c r="Q23" s="85">
        <f>K23*'aij-UNIFAC (LLE)'!$D10/K$41</f>
        <v>0</v>
      </c>
      <c r="R23" s="85">
        <f>L23*'aij-UNIFAC (LLE)'!$D10/L$41</f>
        <v>0.24173318129988591</v>
      </c>
      <c r="S23" s="85">
        <f>M23*'aij-UNIFAC (LLE)'!$D10/M$41</f>
        <v>1</v>
      </c>
      <c r="T23" s="87">
        <f>N23*'aij-UNIFAC (LLE)'!$D10/N$41</f>
        <v>2.9276987832067732E-2</v>
      </c>
      <c r="U23" s="84">
        <f t="array" ref="U23:Z40">MMULT(TRANSPOSE(tauL),O23:T40)</f>
        <v>0.84821830598049519</v>
      </c>
      <c r="V23" s="88">
        <v>0.74286648329513405</v>
      </c>
      <c r="W23" s="85">
        <v>0.43013272665828584</v>
      </c>
      <c r="X23" s="85">
        <v>0.77490660649606524</v>
      </c>
      <c r="Y23" s="88">
        <v>1</v>
      </c>
      <c r="Z23" s="89">
        <v>0.82599938404187012</v>
      </c>
      <c r="AA23" s="90">
        <f t="shared" ref="AA23:AA40" si="7">O23/U23</f>
        <v>0</v>
      </c>
      <c r="AB23" s="91">
        <f t="shared" ref="AB23:AB40" si="8">P23/V23</f>
        <v>0.44108350401661145</v>
      </c>
      <c r="AC23" s="91">
        <f t="shared" ref="AC23:AC40" si="9">Q23/W23</f>
        <v>0</v>
      </c>
      <c r="AD23" s="91">
        <f t="shared" ref="AD23:AD40" si="10">R23/X23</f>
        <v>0.31195137487979768</v>
      </c>
      <c r="AE23" s="91">
        <f t="shared" ref="AE23:AE40" si="11">S23/Y23</f>
        <v>1</v>
      </c>
      <c r="AF23" s="86">
        <f t="shared" ref="AF23:AF40" si="12">T23/Z23</f>
        <v>3.5444321627464644E-2</v>
      </c>
      <c r="AG23" s="84">
        <f t="array" ref="AG23:AL40">MMULT(tauL,AA23:AF40)</f>
        <v>0.37990883024754873</v>
      </c>
      <c r="AH23" s="85">
        <v>0.8871982326404988</v>
      </c>
      <c r="AI23" s="88">
        <v>4.0633847615573683E-2</v>
      </c>
      <c r="AJ23" s="88">
        <v>1.2454916572015557</v>
      </c>
      <c r="AK23" s="88">
        <v>1</v>
      </c>
      <c r="AL23" s="89">
        <v>0.42593861793448556</v>
      </c>
      <c r="AM23" s="92">
        <f>'aij-UNIFAC (LLE)'!$D10*(1-LN(U23)-AG23)</f>
        <v>0.66543273149002191</v>
      </c>
      <c r="AN23" s="93">
        <f>'aij-UNIFAC (LLE)'!$D10*(1-LN(V23)-AH23)</f>
        <v>0.34771452821948101</v>
      </c>
      <c r="AO23" s="93">
        <f>'aij-UNIFAC (LLE)'!$D10*(1-LN(W23)-AI23)</f>
        <v>1.5289674079032798</v>
      </c>
      <c r="AP23" s="93">
        <f>'aij-UNIFAC (LLE)'!$D10*(1-LN(X23)-AJ23)</f>
        <v>8.0738991056338427E-3</v>
      </c>
      <c r="AQ23" s="93">
        <f>'aij-UNIFAC (LLE)'!$D10*(1-LN(Y23)-AK23)</f>
        <v>0</v>
      </c>
      <c r="AR23" s="94">
        <f>'aij-UNIFAC (LLE)'!$D10*(1-LN(Z23)-AL23)</f>
        <v>0.64890879298664916</v>
      </c>
      <c r="AS23" s="35"/>
      <c r="AT23" s="137"/>
      <c r="AU23" s="138"/>
      <c r="AV23" s="142"/>
    </row>
    <row r="24" spans="1:48" s="72" customFormat="1" ht="11">
      <c r="A24" s="35" t="str">
        <f>'aij-UNIFAC (LLE)'!B11</f>
        <v>CH2</v>
      </c>
      <c r="B24" s="193">
        <f>'UNIFAC (LLEa)'!B25</f>
        <v>0</v>
      </c>
      <c r="C24" s="193">
        <f>'UNIFAC (LLEa)'!C25</f>
        <v>1</v>
      </c>
      <c r="D24" s="193">
        <f>'UNIFAC (LLEa)'!D25</f>
        <v>0</v>
      </c>
      <c r="E24" s="193">
        <f>'UNIFAC (LLEa)'!E25</f>
        <v>0</v>
      </c>
      <c r="F24" s="193">
        <f>'UNIFAC (LLEa)'!F25</f>
        <v>0</v>
      </c>
      <c r="G24" s="83">
        <f t="array" ref="G24">SUM(B24:F24*$B$21:$F$21)</f>
        <v>0.13900001042726937</v>
      </c>
      <c r="H24" s="36" t="str">
        <f t="shared" si="0"/>
        <v>CH2</v>
      </c>
      <c r="I24" s="95">
        <f t="shared" si="1"/>
        <v>0</v>
      </c>
      <c r="J24" s="96">
        <f t="shared" si="2"/>
        <v>0.33333333333333331</v>
      </c>
      <c r="K24" s="96">
        <f t="shared" si="3"/>
        <v>0</v>
      </c>
      <c r="L24" s="96">
        <f t="shared" si="4"/>
        <v>0</v>
      </c>
      <c r="M24" s="96">
        <f t="shared" si="5"/>
        <v>0</v>
      </c>
      <c r="N24" s="97">
        <f t="shared" si="6"/>
        <v>2.3497601241219544E-2</v>
      </c>
      <c r="O24" s="95">
        <f>I24*'aij-UNIFAC (LLE)'!$D11/I$41</f>
        <v>0</v>
      </c>
      <c r="P24" s="96">
        <f>J24*'aij-UNIFAC (LLE)'!$D11/J$41</f>
        <v>0.20865533230293665</v>
      </c>
      <c r="Q24" s="96">
        <f>K24*'aij-UNIFAC (LLE)'!$D11/K$41</f>
        <v>0</v>
      </c>
      <c r="R24" s="96">
        <f>L24*'aij-UNIFAC (LLE)'!$D11/L$41</f>
        <v>0</v>
      </c>
      <c r="S24" s="96">
        <f>M24*'aij-UNIFAC (LLE)'!$D11/M$41</f>
        <v>0</v>
      </c>
      <c r="T24" s="98">
        <f>N24*'aij-UNIFAC (LLE)'!$D11/N$41</f>
        <v>1.8643364893062002E-2</v>
      </c>
      <c r="U24" s="95">
        <v>0.84821830598049519</v>
      </c>
      <c r="V24" s="99">
        <v>0.74286648329513405</v>
      </c>
      <c r="W24" s="96">
        <v>0.43013272665828584</v>
      </c>
      <c r="X24" s="96">
        <v>0.77490660649606524</v>
      </c>
      <c r="Y24" s="99">
        <v>1</v>
      </c>
      <c r="Z24" s="100">
        <v>0.82599938404187012</v>
      </c>
      <c r="AA24" s="101">
        <f t="shared" si="7"/>
        <v>0</v>
      </c>
      <c r="AB24" s="102">
        <f t="shared" si="8"/>
        <v>0.28087864642567245</v>
      </c>
      <c r="AC24" s="102">
        <f t="shared" si="9"/>
        <v>0</v>
      </c>
      <c r="AD24" s="102">
        <f t="shared" si="10"/>
        <v>0</v>
      </c>
      <c r="AE24" s="102">
        <f t="shared" si="11"/>
        <v>0</v>
      </c>
      <c r="AF24" s="97">
        <f t="shared" si="12"/>
        <v>2.2570676508055318E-2</v>
      </c>
      <c r="AG24" s="95">
        <v>0.37990883024754873</v>
      </c>
      <c r="AH24" s="96">
        <v>0.8871982326404988</v>
      </c>
      <c r="AI24" s="99">
        <v>4.0633847615573683E-2</v>
      </c>
      <c r="AJ24" s="99">
        <v>1.2454916572015557</v>
      </c>
      <c r="AK24" s="99">
        <v>1</v>
      </c>
      <c r="AL24" s="100">
        <v>0.42593861793448556</v>
      </c>
      <c r="AM24" s="103">
        <f>'aij-UNIFAC (LLE)'!$D11*(1-LN(U24)-AG24)</f>
        <v>0.42374254127902339</v>
      </c>
      <c r="AN24" s="104">
        <f>'aij-UNIFAC (LLE)'!$D11*(1-LN(V24)-AH24)</f>
        <v>0.22142198730957521</v>
      </c>
      <c r="AO24" s="104">
        <f>'aij-UNIFAC (LLE)'!$D11*(1-LN(W24)-AI24)</f>
        <v>0.97363490597614522</v>
      </c>
      <c r="AP24" s="104">
        <f>'aij-UNIFAC (LLE)'!$D11*(1-LN(X24)-AJ24)</f>
        <v>5.1413980153800411E-3</v>
      </c>
      <c r="AQ24" s="104">
        <f>'aij-UNIFAC (LLE)'!$D11*(1-LN(Y24)-AK24)</f>
        <v>0</v>
      </c>
      <c r="AR24" s="105">
        <f>'aij-UNIFAC (LLE)'!$D11*(1-LN(Z24)-AL24)</f>
        <v>0.41322022194904551</v>
      </c>
      <c r="AS24" s="35"/>
      <c r="AT24" s="137"/>
      <c r="AU24" s="143"/>
      <c r="AV24" s="143"/>
    </row>
    <row r="25" spans="1:48" s="72" customFormat="1" ht="11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0.84821830598049519</v>
      </c>
      <c r="V25" s="99">
        <v>0.74286648329513405</v>
      </c>
      <c r="W25" s="99">
        <v>0.43013272665828584</v>
      </c>
      <c r="X25" s="99">
        <v>0.77490660649606524</v>
      </c>
      <c r="Y25" s="99">
        <v>1</v>
      </c>
      <c r="Z25" s="100">
        <v>0.82599938404187012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0.37990883024754873</v>
      </c>
      <c r="AH25" s="99">
        <v>0.8871982326404988</v>
      </c>
      <c r="AI25" s="99">
        <v>4.0633847615573683E-2</v>
      </c>
      <c r="AJ25" s="99">
        <v>1.2454916572015557</v>
      </c>
      <c r="AK25" s="99">
        <v>1</v>
      </c>
      <c r="AL25" s="100">
        <v>0.42593861793448556</v>
      </c>
      <c r="AM25" s="103">
        <f>'aij-UNIFAC (LLE)'!$D12*(1-LN(U25)-AG25)</f>
        <v>0.178913517428921</v>
      </c>
      <c r="AN25" s="104">
        <f>'aij-UNIFAC (LLE)'!$D12*(1-LN(V25)-AH25)</f>
        <v>9.3489283530709524E-2</v>
      </c>
      <c r="AO25" s="104">
        <f>'aij-UNIFAC (LLE)'!$D12*(1-LN(W25)-AI25)</f>
        <v>0.41109029363437244</v>
      </c>
      <c r="AP25" s="104">
        <f>'aij-UNIFAC (LLE)'!$D12*(1-LN(X25)-AJ25)</f>
        <v>2.1708124953826839E-3</v>
      </c>
      <c r="AQ25" s="104">
        <f>'aij-UNIFAC (LLE)'!$D12*(1-LN(Y25)-AK25)</f>
        <v>0</v>
      </c>
      <c r="AR25" s="105">
        <f>'aij-UNIFAC (LLE)'!$D12*(1-LN(Z25)-AL25)</f>
        <v>0.17447076037848588</v>
      </c>
      <c r="AS25" s="35"/>
      <c r="AT25" s="190"/>
    </row>
    <row r="26" spans="1:48" s="72" customFormat="1" ht="11">
      <c r="A26" s="35" t="str">
        <f>'aij-UNIFAC (LLE)'!B13</f>
        <v>ACH</v>
      </c>
      <c r="B26" s="193">
        <f>'UNIFAC (LLEa)'!B27</f>
        <v>4</v>
      </c>
      <c r="C26" s="193">
        <f>'UNIFAC (LLEa)'!C27</f>
        <v>0</v>
      </c>
      <c r="D26" s="193">
        <f>'UNIFAC (LLEa)'!D27</f>
        <v>0</v>
      </c>
      <c r="E26" s="193">
        <f>'UNIFAC (LLEa)'!E27</f>
        <v>5</v>
      </c>
      <c r="F26" s="193">
        <f>'UNIFAC (LLEa)'!F27</f>
        <v>0</v>
      </c>
      <c r="G26" s="83">
        <f t="array" ref="G26">SUM(B26:F26*$B$21:$F$21)</f>
        <v>3.0916652422603774</v>
      </c>
      <c r="H26" s="36" t="str">
        <f t="shared" si="0"/>
        <v>ACH</v>
      </c>
      <c r="I26" s="95">
        <f t="shared" si="1"/>
        <v>0.5714285714285714</v>
      </c>
      <c r="J26" s="96">
        <f t="shared" si="2"/>
        <v>0</v>
      </c>
      <c r="K26" s="96">
        <f t="shared" si="3"/>
        <v>0</v>
      </c>
      <c r="L26" s="96">
        <f t="shared" si="4"/>
        <v>0.7142857142857143</v>
      </c>
      <c r="M26" s="96">
        <f t="shared" si="5"/>
        <v>0</v>
      </c>
      <c r="N26" s="97">
        <f t="shared" si="6"/>
        <v>0.52263821283657075</v>
      </c>
      <c r="O26" s="95">
        <f>I26*'aij-UNIFAC (LLE)'!$D13/I$41</f>
        <v>0.34904013961605584</v>
      </c>
      <c r="P26" s="96">
        <f>J26*'aij-UNIFAC (LLE)'!$D13/J$41</f>
        <v>0</v>
      </c>
      <c r="Q26" s="96">
        <f>K26*'aij-UNIFAC (LLE)'!$D13/K$41</f>
        <v>0</v>
      </c>
      <c r="R26" s="96">
        <f>L26*'aij-UNIFAC (LLE)'!$D13/L$41</f>
        <v>0.5701254275940707</v>
      </c>
      <c r="S26" s="96">
        <f>M26*'aij-UNIFAC (LLE)'!$D13/M$41</f>
        <v>0</v>
      </c>
      <c r="T26" s="98">
        <f>N26*'aij-UNIFAC (LLE)'!$D13/N$41</f>
        <v>0.30716247756348619</v>
      </c>
      <c r="U26" s="95">
        <v>1.5240288828220825</v>
      </c>
      <c r="V26" s="96">
        <v>1.1859787215091786</v>
      </c>
      <c r="W26" s="96">
        <v>0.39909093824900943</v>
      </c>
      <c r="X26" s="99">
        <v>1.1610169890416751</v>
      </c>
      <c r="Y26" s="99">
        <v>1.3269235290790162</v>
      </c>
      <c r="Z26" s="100">
        <v>1.4593678534341596</v>
      </c>
      <c r="AA26" s="101">
        <f t="shared" si="7"/>
        <v>0.22902462253190994</v>
      </c>
      <c r="AB26" s="102">
        <f t="shared" si="8"/>
        <v>0</v>
      </c>
      <c r="AC26" s="102">
        <f t="shared" si="9"/>
        <v>0</v>
      </c>
      <c r="AD26" s="102">
        <f t="shared" si="10"/>
        <v>0.49105692076449525</v>
      </c>
      <c r="AE26" s="102">
        <f t="shared" si="11"/>
        <v>0</v>
      </c>
      <c r="AF26" s="97">
        <f t="shared" si="12"/>
        <v>0.21047639006209207</v>
      </c>
      <c r="AG26" s="95">
        <v>0.37865147032488827</v>
      </c>
      <c r="AH26" s="99">
        <v>0.63373369325486062</v>
      </c>
      <c r="AI26" s="99">
        <v>0.12032833981603797</v>
      </c>
      <c r="AJ26" s="99">
        <v>0.84368686047144459</v>
      </c>
      <c r="AK26" s="99">
        <v>0.68003538377021311</v>
      </c>
      <c r="AL26" s="100">
        <v>0.40583119208807172</v>
      </c>
      <c r="AM26" s="103">
        <f>'aij-UNIFAC (LLE)'!$D13*(1-LN(U26)-AG26)</f>
        <v>7.9996448242899976E-2</v>
      </c>
      <c r="AN26" s="104">
        <f>'aij-UNIFAC (LLE)'!$D13*(1-LN(V26)-AH26)</f>
        <v>7.827917908899118E-2</v>
      </c>
      <c r="AO26" s="104">
        <f>'aij-UNIFAC (LLE)'!$D13*(1-LN(W26)-AI26)</f>
        <v>0.71929505313358244</v>
      </c>
      <c r="AP26" s="104">
        <f>'aij-UNIFAC (LLE)'!$D13*(1-LN(X26)-AJ26)</f>
        <v>2.8067215236130764E-3</v>
      </c>
      <c r="AQ26" s="104">
        <f>'aij-UNIFAC (LLE)'!$D13*(1-LN(Y26)-AK26)</f>
        <v>1.4840595783524924E-2</v>
      </c>
      <c r="AR26" s="105">
        <f>'aij-UNIFAC (LLE)'!$D13*(1-LN(Z26)-AL26)</f>
        <v>8.6466177221289534E-2</v>
      </c>
      <c r="AS26" s="35"/>
      <c r="AT26" s="190"/>
    </row>
    <row r="27" spans="1:48" s="72" customFormat="1" ht="11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0</v>
      </c>
      <c r="E27" s="193">
        <f>'UNIFAC (LLEa)'!E28</f>
        <v>1</v>
      </c>
      <c r="F27" s="193">
        <f>'UNIFAC (LLEa)'!F28</f>
        <v>0</v>
      </c>
      <c r="G27" s="83">
        <f t="array" ref="G27">SUM(B27:F27*$B$21:$F$21)</f>
        <v>9.9999999999999995E-21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</v>
      </c>
      <c r="L27" s="96">
        <f t="shared" si="4"/>
        <v>0.14285714285714285</v>
      </c>
      <c r="M27" s="96">
        <f t="shared" si="5"/>
        <v>0</v>
      </c>
      <c r="N27" s="97">
        <f t="shared" si="6"/>
        <v>1.6904747826270468E-21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</v>
      </c>
      <c r="R27" s="96">
        <f>L27*'aij-UNIFAC (LLE)'!$D14/L$41</f>
        <v>0.18814139110604328</v>
      </c>
      <c r="S27" s="96">
        <f>M27*'aij-UNIFAC (LLE)'!$D14/M$41</f>
        <v>0</v>
      </c>
      <c r="T27" s="98">
        <f>N27*'aij-UNIFAC (LLE)'!$D14/N$41</f>
        <v>1.6393045438813663E-21</v>
      </c>
      <c r="U27" s="95">
        <v>1.2783570277617908</v>
      </c>
      <c r="V27" s="96">
        <v>1.1754673212918454</v>
      </c>
      <c r="W27" s="96">
        <v>0.60537355058662956</v>
      </c>
      <c r="X27" s="99">
        <v>0.88741847119605644</v>
      </c>
      <c r="Y27" s="99">
        <v>1.3298693373824975</v>
      </c>
      <c r="Z27" s="100">
        <v>1.248550713799033</v>
      </c>
      <c r="AA27" s="101">
        <f t="shared" si="7"/>
        <v>0</v>
      </c>
      <c r="AB27" s="102">
        <f t="shared" si="8"/>
        <v>0</v>
      </c>
      <c r="AC27" s="102">
        <f t="shared" si="9"/>
        <v>0</v>
      </c>
      <c r="AD27" s="102">
        <f t="shared" si="10"/>
        <v>0.21200977578533792</v>
      </c>
      <c r="AE27" s="102">
        <f t="shared" si="11"/>
        <v>0</v>
      </c>
      <c r="AF27" s="97">
        <f t="shared" si="12"/>
        <v>1.3129659258240022E-21</v>
      </c>
      <c r="AG27" s="95">
        <v>0.39345258297463792</v>
      </c>
      <c r="AH27" s="99">
        <v>0.55825218392971798</v>
      </c>
      <c r="AI27" s="99">
        <v>8.0511723612174953E-7</v>
      </c>
      <c r="AJ27" s="99">
        <v>1.1582565965911993</v>
      </c>
      <c r="AK27" s="99">
        <v>0.77318425461783513</v>
      </c>
      <c r="AL27" s="100">
        <v>0.40795892431221625</v>
      </c>
      <c r="AM27" s="103">
        <f>'aij-UNIFAC (LLE)'!$D14*(1-LN(U27)-AG27)</f>
        <v>0.23824134552184162</v>
      </c>
      <c r="AN27" s="104">
        <f>'aij-UNIFAC (LLE)'!$D14*(1-LN(V27)-AH27)</f>
        <v>0.18485413801503942</v>
      </c>
      <c r="AO27" s="104">
        <f>'aij-UNIFAC (LLE)'!$D14*(1-LN(W27)-AI27)</f>
        <v>0.991259786474047</v>
      </c>
      <c r="AP27" s="104">
        <f>'aij-UNIFAC (LLE)'!$D14*(1-LN(X27)-AJ27)</f>
        <v>-2.5619861056591278E-2</v>
      </c>
      <c r="AQ27" s="104">
        <f>'aij-UNIFAC (LLE)'!$D14*(1-LN(Y27)-AK27)</f>
        <v>-3.8454866640847393E-2</v>
      </c>
      <c r="AR27" s="105">
        <f>'aij-UNIFAC (LLE)'!$D14*(1-LN(Z27)-AL27)</f>
        <v>0.24423803315477804</v>
      </c>
      <c r="AS27" s="35"/>
      <c r="AT27" s="190"/>
    </row>
    <row r="28" spans="1:48" s="72" customFormat="1" ht="11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1.2783570277617908</v>
      </c>
      <c r="V28" s="96">
        <v>1.1754673212918454</v>
      </c>
      <c r="W28" s="96">
        <v>0.60537355058662956</v>
      </c>
      <c r="X28" s="99">
        <v>0.88741847119605644</v>
      </c>
      <c r="Y28" s="99">
        <v>1.3298693373824975</v>
      </c>
      <c r="Z28" s="100">
        <v>1.248550713799033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0.39345258297463792</v>
      </c>
      <c r="AH28" s="99">
        <v>0.55825218392971798</v>
      </c>
      <c r="AI28" s="99">
        <v>8.0511723612174953E-7</v>
      </c>
      <c r="AJ28" s="99">
        <v>1.1582565965911993</v>
      </c>
      <c r="AK28" s="99">
        <v>0.77318425461783513</v>
      </c>
      <c r="AL28" s="100">
        <v>0.40795892431221625</v>
      </c>
      <c r="AM28" s="103">
        <f>'aij-UNIFAC (LLE)'!$D15*(1-LN(U28)-AG28)</f>
        <v>0.34942064009870105</v>
      </c>
      <c r="AN28" s="104">
        <f>'aij-UNIFAC (LLE)'!$D15*(1-LN(V28)-AH28)</f>
        <v>0.27111940242205779</v>
      </c>
      <c r="AO28" s="104">
        <f>'aij-UNIFAC (LLE)'!$D15*(1-LN(W28)-AI28)</f>
        <v>1.4538476868286021</v>
      </c>
      <c r="AP28" s="104">
        <f>'aij-UNIFAC (LLE)'!$D15*(1-LN(X28)-AJ28)</f>
        <v>-3.7575796216333876E-2</v>
      </c>
      <c r="AQ28" s="104">
        <f>'aij-UNIFAC (LLE)'!$D15*(1-LN(Y28)-AK28)</f>
        <v>-5.6400471073242843E-2</v>
      </c>
      <c r="AR28" s="105">
        <f>'aij-UNIFAC (LLE)'!$D15*(1-LN(Z28)-AL28)</f>
        <v>0.3582157819603411</v>
      </c>
      <c r="AS28" s="35"/>
      <c r="AT28" s="190"/>
    </row>
    <row r="29" spans="1:48" s="72" customFormat="1" ht="11">
      <c r="A29" s="35" t="str">
        <f>'aij-UNIFAC (LLE)'!B16</f>
        <v>OH</v>
      </c>
      <c r="B29" s="193">
        <f>'UNIFAC (LLEa)'!B30</f>
        <v>0</v>
      </c>
      <c r="C29" s="193">
        <f>'UNIFAC (LLEa)'!C30</f>
        <v>1</v>
      </c>
      <c r="D29" s="193">
        <f>'UNIFAC (LLEa)'!D30</f>
        <v>0</v>
      </c>
      <c r="E29" s="193">
        <f>'UNIFAC (LLEa)'!E30</f>
        <v>0</v>
      </c>
      <c r="F29" s="193">
        <f>'UNIFAC (LLEa)'!F30</f>
        <v>0</v>
      </c>
      <c r="G29" s="83">
        <f t="array" ref="G29">SUM(B29:F29*$B$21:$F$21)</f>
        <v>0.13900001042726937</v>
      </c>
      <c r="H29" s="36" t="str">
        <f t="shared" si="0"/>
        <v>OH</v>
      </c>
      <c r="I29" s="95">
        <f t="shared" si="1"/>
        <v>0</v>
      </c>
      <c r="J29" s="96">
        <f t="shared" si="2"/>
        <v>0.33333333333333331</v>
      </c>
      <c r="K29" s="96">
        <f t="shared" si="3"/>
        <v>0</v>
      </c>
      <c r="L29" s="96">
        <f t="shared" si="4"/>
        <v>0</v>
      </c>
      <c r="M29" s="96">
        <f t="shared" si="5"/>
        <v>0</v>
      </c>
      <c r="N29" s="97">
        <f t="shared" si="6"/>
        <v>2.3497601241219544E-2</v>
      </c>
      <c r="O29" s="95">
        <f>I29*'aij-UNIFAC (LLE)'!$D16/I$41</f>
        <v>0</v>
      </c>
      <c r="P29" s="96">
        <f>J29*'aij-UNIFAC (LLE)'!$D16/J$41</f>
        <v>0.46367851622874806</v>
      </c>
      <c r="Q29" s="96">
        <f>K29*'aij-UNIFAC (LLE)'!$D16/K$41</f>
        <v>0</v>
      </c>
      <c r="R29" s="96">
        <f>L29*'aij-UNIFAC (LLE)'!$D16/L$41</f>
        <v>0</v>
      </c>
      <c r="S29" s="96">
        <f>M29*'aij-UNIFAC (LLE)'!$D16/M$41</f>
        <v>0</v>
      </c>
      <c r="T29" s="98">
        <f>N29*'aij-UNIFAC (LLE)'!$D16/N$41</f>
        <v>4.1429699762359995E-2</v>
      </c>
      <c r="U29" s="95">
        <v>0.47391482383527295</v>
      </c>
      <c r="V29" s="96">
        <v>0.57323740870799866</v>
      </c>
      <c r="W29" s="96">
        <v>1.3520057858881673</v>
      </c>
      <c r="X29" s="99">
        <v>0.15002287960365845</v>
      </c>
      <c r="Y29" s="99">
        <v>0.20427839606361714</v>
      </c>
      <c r="Z29" s="100">
        <v>0.50968474460379243</v>
      </c>
      <c r="AA29" s="101">
        <f t="shared" si="7"/>
        <v>0</v>
      </c>
      <c r="AB29" s="102">
        <f t="shared" si="8"/>
        <v>0.8088769315907316</v>
      </c>
      <c r="AC29" s="102">
        <f t="shared" si="9"/>
        <v>0</v>
      </c>
      <c r="AD29" s="102">
        <f t="shared" si="10"/>
        <v>0</v>
      </c>
      <c r="AE29" s="102">
        <f t="shared" si="11"/>
        <v>0</v>
      </c>
      <c r="AF29" s="97">
        <f t="shared" si="12"/>
        <v>8.1284951533257502E-2</v>
      </c>
      <c r="AG29" s="95">
        <v>0.73008748202041363</v>
      </c>
      <c r="AH29" s="99">
        <v>1.1304740442458232</v>
      </c>
      <c r="AI29" s="99">
        <v>0.93165779857703845</v>
      </c>
      <c r="AJ29" s="99">
        <v>0.85263365817132475</v>
      </c>
      <c r="AK29" s="99">
        <v>0.44544871563983901</v>
      </c>
      <c r="AL29" s="100">
        <v>0.81212067669431875</v>
      </c>
      <c r="AM29" s="103">
        <f>'aij-UNIFAC (LLE)'!$D16*(1-LN(U29)-AG29)</f>
        <v>1.2199682255568762</v>
      </c>
      <c r="AN29" s="104">
        <f>'aij-UNIFAC (LLE)'!$D16*(1-LN(V29)-AH29)</f>
        <v>0.51117753358547457</v>
      </c>
      <c r="AO29" s="104">
        <f>'aij-UNIFAC (LLE)'!$D16*(1-LN(W29)-AI29)</f>
        <v>-0.27989646683008329</v>
      </c>
      <c r="AP29" s="104">
        <f>'aij-UNIFAC (LLE)'!$D16*(1-LN(X29)-AJ29)</f>
        <v>2.4532005691861478</v>
      </c>
      <c r="AQ29" s="104">
        <f>'aij-UNIFAC (LLE)'!$D16*(1-LN(Y29)-AK29)</f>
        <v>2.5713873759001742</v>
      </c>
      <c r="AR29" s="105">
        <f>'aij-UNIFAC (LLE)'!$D16*(1-LN(Z29)-AL29)</f>
        <v>1.0342106586447488</v>
      </c>
      <c r="AS29" s="35"/>
      <c r="AT29" s="35"/>
    </row>
    <row r="30" spans="1:48" s="72" customFormat="1" ht="11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1.2779383124559169</v>
      </c>
      <c r="V30" s="96">
        <v>0.28974299152431326</v>
      </c>
      <c r="W30" s="96">
        <v>0.77223229185387998</v>
      </c>
      <c r="X30" s="99">
        <v>0.27003820029021441</v>
      </c>
      <c r="Y30" s="99">
        <v>0.46507631153774737</v>
      </c>
      <c r="Z30" s="100">
        <v>1.1741535117475295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0.68738019929530081</v>
      </c>
      <c r="AH30" s="99">
        <v>2.5678486452912663</v>
      </c>
      <c r="AI30" s="99">
        <v>0.98559205135186301</v>
      </c>
      <c r="AJ30" s="99">
        <v>1.7614642858966771</v>
      </c>
      <c r="AK30" s="99">
        <v>1.38402638323431</v>
      </c>
      <c r="AL30" s="100">
        <v>0.90400934715301728</v>
      </c>
      <c r="AM30" s="103">
        <f>'aij-UNIFAC (LLE)'!$D17*(1-LN(U30)-AG30)</f>
        <v>0.21046923681080118</v>
      </c>
      <c r="AN30" s="104">
        <f>'aij-UNIFAC (LLE)'!$D17*(1-LN(V30)-AH30)</f>
        <v>-1.0280698505497199</v>
      </c>
      <c r="AO30" s="104">
        <f>'aij-UNIFAC (LLE)'!$D17*(1-LN(W30)-AI30)</f>
        <v>0.85247033055423505</v>
      </c>
      <c r="AP30" s="104">
        <f>'aij-UNIFAC (LLE)'!$D17*(1-LN(X30)-AJ30)</f>
        <v>1.7111009022461139</v>
      </c>
      <c r="AQ30" s="104">
        <f>'aij-UNIFAC (LLE)'!$D17*(1-LN(Y30)-AK30)</f>
        <v>1.1918915750800687</v>
      </c>
      <c r="AR30" s="105">
        <f>'aij-UNIFAC (LLE)'!$D17*(1-LN(Z30)-AL30)</f>
        <v>-0.20167550440275991</v>
      </c>
      <c r="AS30" s="35"/>
      <c r="AT30" s="35"/>
    </row>
    <row r="31" spans="1:48" s="72" customFormat="1" ht="11">
      <c r="A31" s="35" t="str">
        <f>'aij-UNIFAC (LLE)'!B18</f>
        <v>H2O</v>
      </c>
      <c r="B31" s="193">
        <f>'UNIFAC (LLEa)'!B32</f>
        <v>0</v>
      </c>
      <c r="C31" s="193">
        <f>'UNIFAC (LLEa)'!C32</f>
        <v>0</v>
      </c>
      <c r="D31" s="193">
        <f>'UNIFAC (LLEa)'!D32</f>
        <v>1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8.8083679007636306E-2</v>
      </c>
      <c r="H31" s="36" t="str">
        <f t="shared" si="0"/>
        <v>H2O</v>
      </c>
      <c r="I31" s="95">
        <f t="shared" si="1"/>
        <v>0</v>
      </c>
      <c r="J31" s="96">
        <f t="shared" si="2"/>
        <v>0</v>
      </c>
      <c r="K31" s="96">
        <f t="shared" si="3"/>
        <v>1</v>
      </c>
      <c r="L31" s="96">
        <f t="shared" si="4"/>
        <v>0</v>
      </c>
      <c r="M31" s="96">
        <f t="shared" si="5"/>
        <v>0</v>
      </c>
      <c r="N31" s="97">
        <f t="shared" si="6"/>
        <v>1.4890323812342456E-2</v>
      </c>
      <c r="O31" s="95">
        <f>I31*'aij-UNIFAC (LLE)'!$D18/I$41</f>
        <v>0</v>
      </c>
      <c r="P31" s="96">
        <f>J31*'aij-UNIFAC (LLE)'!$D18/J$41</f>
        <v>0</v>
      </c>
      <c r="Q31" s="96">
        <f>K31*'aij-UNIFAC (LLE)'!$D18/K$41</f>
        <v>1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3.0629449293122467E-2</v>
      </c>
      <c r="U31" s="95">
        <v>1.0753985236335644</v>
      </c>
      <c r="V31" s="96">
        <v>0.45378251112166246</v>
      </c>
      <c r="W31" s="96">
        <v>1</v>
      </c>
      <c r="X31" s="99">
        <v>7.8424946917747512E-2</v>
      </c>
      <c r="Y31" s="99">
        <v>4.0633847615573683E-2</v>
      </c>
      <c r="Z31" s="100">
        <v>1.0175476850321514</v>
      </c>
      <c r="AA31" s="101">
        <f t="shared" si="7"/>
        <v>0</v>
      </c>
      <c r="AB31" s="102">
        <f t="shared" si="8"/>
        <v>0</v>
      </c>
      <c r="AC31" s="102">
        <f t="shared" si="9"/>
        <v>1</v>
      </c>
      <c r="AD31" s="102">
        <f t="shared" si="10"/>
        <v>0</v>
      </c>
      <c r="AE31" s="102">
        <f t="shared" si="11"/>
        <v>0</v>
      </c>
      <c r="AF31" s="97">
        <f t="shared" si="12"/>
        <v>3.0101242176335617E-2</v>
      </c>
      <c r="AG31" s="95">
        <v>0.56275044779620109</v>
      </c>
      <c r="AH31" s="99">
        <v>1.4041458398959556</v>
      </c>
      <c r="AI31" s="99">
        <v>1</v>
      </c>
      <c r="AJ31" s="99">
        <v>0.45850197342966559</v>
      </c>
      <c r="AK31" s="99">
        <v>0.43013272665828584</v>
      </c>
      <c r="AL31" s="100">
        <v>0.68757380280000446</v>
      </c>
      <c r="AM31" s="103">
        <f>'aij-UNIFAC (LLE)'!$D18*(1-LN(U31)-AG31)</f>
        <v>0.51038153553043675</v>
      </c>
      <c r="AN31" s="104">
        <f>'aij-UNIFAC (LLE)'!$D18*(1-LN(V31)-AH31)</f>
        <v>0.54038796870652406</v>
      </c>
      <c r="AO31" s="104">
        <f>'aij-UNIFAC (LLE)'!$D18*(1-LN(W31)-AI31)</f>
        <v>0</v>
      </c>
      <c r="AP31" s="104">
        <f>'aij-UNIFAC (LLE)'!$D18*(1-LN(X31)-AJ31)</f>
        <v>4.321955719661541</v>
      </c>
      <c r="AQ31" s="104">
        <f>'aij-UNIFAC (LLE)'!$D18*(1-LN(Y31)-AK31)</f>
        <v>5.282229607096288</v>
      </c>
      <c r="AR31" s="105">
        <f>'aij-UNIFAC (LLE)'!$D18*(1-LN(Z31)-AL31)</f>
        <v>0.41304297309386179</v>
      </c>
      <c r="AS31" s="35"/>
      <c r="AT31" s="35"/>
    </row>
    <row r="32" spans="1:48" s="72" customFormat="1" ht="13">
      <c r="A32" s="35" t="str">
        <f>'aij-UNIFAC (LLE)'!B19</f>
        <v>ACOH</v>
      </c>
      <c r="B32" s="193">
        <f>'UNIFAC (LLEa)'!B33</f>
        <v>1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0.77291631056509436</v>
      </c>
      <c r="H32" s="36" t="str">
        <f t="shared" si="0"/>
        <v>ACOH</v>
      </c>
      <c r="I32" s="95">
        <f t="shared" si="1"/>
        <v>0.14285714285714285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0.13065955320914269</v>
      </c>
      <c r="O32" s="95">
        <f>I32*'aij-UNIFAC (LLE)'!$D19/I$41</f>
        <v>0.14834205933682373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0.13054405296448163</v>
      </c>
      <c r="U32" s="95">
        <v>2.9527327196816859</v>
      </c>
      <c r="V32" s="96">
        <v>0.75268969872450031</v>
      </c>
      <c r="W32" s="96">
        <v>0.42791282811847325</v>
      </c>
      <c r="X32" s="99">
        <v>0.10222850624325824</v>
      </c>
      <c r="Y32" s="99">
        <v>3.8632750753025977E-3</v>
      </c>
      <c r="Z32" s="100">
        <v>2.6788249174415233</v>
      </c>
      <c r="AA32" s="101">
        <f t="shared" si="7"/>
        <v>5.0238905251409102E-2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4.8731834661729548E-2</v>
      </c>
      <c r="AG32" s="95">
        <v>3.1987531751482599</v>
      </c>
      <c r="AH32" s="99">
        <v>2.015379235708012</v>
      </c>
      <c r="AI32" s="99">
        <v>4.3417455027045122</v>
      </c>
      <c r="AJ32" s="99">
        <v>2.7139112096473283</v>
      </c>
      <c r="AK32" s="99">
        <v>1.4825173130803633</v>
      </c>
      <c r="AL32" s="100">
        <v>3.2751560753279669</v>
      </c>
      <c r="AM32" s="103">
        <f>'aij-UNIFAC (LLE)'!$D19*(1-LN(U32)-AG32)</f>
        <v>-2.2314092984057847</v>
      </c>
      <c r="AN32" s="104">
        <f>'aij-UNIFAC (LLE)'!$D19*(1-LN(V32)-AH32)</f>
        <v>-0.4972683687770767</v>
      </c>
      <c r="AO32" s="104">
        <f>'aij-UNIFAC (LLE)'!$D19*(1-LN(W32)-AI32)</f>
        <v>-1.6951786136389946</v>
      </c>
      <c r="AP32" s="104">
        <f>'aij-UNIFAC (LLE)'!$D19*(1-LN(X32)-AJ32)</f>
        <v>0.38531078299102611</v>
      </c>
      <c r="AQ32" s="104">
        <f>'aij-UNIFAC (LLE)'!$D19*(1-LN(Y32)-AK32)</f>
        <v>3.4501314204033702</v>
      </c>
      <c r="AR32" s="105">
        <f>'aij-UNIFAC (LLE)'!$D19*(1-LN(Z32)-AL32)</f>
        <v>-2.2171633308382295</v>
      </c>
      <c r="AS32" s="5"/>
      <c r="AT32" s="35"/>
    </row>
    <row r="33" spans="1:46" s="72" customFormat="1" ht="13">
      <c r="A33" s="35" t="str">
        <f>'aij-UNIFAC (LLE)'!B20</f>
        <v>CH3CO</v>
      </c>
      <c r="B33" s="193">
        <f>'UNIFAC (LLEa)'!B34</f>
        <v>1</v>
      </c>
      <c r="C33" s="193">
        <f>'UNIFAC (LLEa)'!C34</f>
        <v>0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0.77291631056509436</v>
      </c>
      <c r="H33" s="36" t="str">
        <f t="shared" si="0"/>
        <v>CH3CO</v>
      </c>
      <c r="I33" s="95">
        <f t="shared" si="1"/>
        <v>0.14285714285714285</v>
      </c>
      <c r="J33" s="96">
        <f t="shared" si="2"/>
        <v>0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0.13065955320914269</v>
      </c>
      <c r="O33" s="95">
        <f>I33*'aij-UNIFAC (LLE)'!$D20/I$41</f>
        <v>0.32460732984293195</v>
      </c>
      <c r="P33" s="96">
        <f>J33*'aij-UNIFAC (LLE)'!$D20/J$41</f>
        <v>0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0.28566110413404211</v>
      </c>
      <c r="U33" s="95">
        <v>1.5615238741763375</v>
      </c>
      <c r="V33" s="96">
        <v>0.5604282097911899</v>
      </c>
      <c r="W33" s="96">
        <v>1.5270062272903357</v>
      </c>
      <c r="X33" s="99">
        <v>0.22712615800681019</v>
      </c>
      <c r="Y33" s="99">
        <v>0.31208813982240985</v>
      </c>
      <c r="Z33" s="100">
        <v>1.4710186675035135</v>
      </c>
      <c r="AA33" s="101">
        <f t="shared" si="7"/>
        <v>0.20787855710125067</v>
      </c>
      <c r="AB33" s="102">
        <f t="shared" si="8"/>
        <v>0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0.19419271178851971</v>
      </c>
      <c r="AG33" s="95">
        <v>0.69766718115662141</v>
      </c>
      <c r="AH33" s="99">
        <v>1.0878136421680347</v>
      </c>
      <c r="AI33" s="99">
        <v>0.20927111292695758</v>
      </c>
      <c r="AJ33" s="99">
        <v>1.1146656409755848</v>
      </c>
      <c r="AK33" s="99">
        <v>0.8487407671189976</v>
      </c>
      <c r="AL33" s="100">
        <v>0.75794630302685417</v>
      </c>
      <c r="AM33" s="103">
        <f>'aij-UNIFAC (LLE)'!$D20*(1-LN(U33)-AG33)</f>
        <v>-0.21327409964161417</v>
      </c>
      <c r="AN33" s="104">
        <f>'aij-UNIFAC (LLE)'!$D20*(1-LN(V33)-AH33)</f>
        <v>0.73096584160153411</v>
      </c>
      <c r="AO33" s="104">
        <f>'aij-UNIFAC (LLE)'!$D20*(1-LN(W33)-AI33)</f>
        <v>0.54672063669352777</v>
      </c>
      <c r="AP33" s="104">
        <f>'aij-UNIFAC (LLE)'!$D20*(1-LN(X33)-AJ33)</f>
        <v>2.0349650109856836</v>
      </c>
      <c r="AQ33" s="104">
        <f>'aij-UNIFAC (LLE)'!$D20*(1-LN(Y33)-AK33)</f>
        <v>1.9578045504032411</v>
      </c>
      <c r="AR33" s="105">
        <f>'aij-UNIFAC (LLE)'!$D20*(1-LN(Z33)-AL33)</f>
        <v>-0.21412533515310975</v>
      </c>
      <c r="AS33" s="5"/>
      <c r="AT33" s="35"/>
    </row>
    <row r="34" spans="1:46" s="72" customFormat="1" ht="13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0.82520937099679548</v>
      </c>
      <c r="V34" s="96">
        <v>0.3776859913858151</v>
      </c>
      <c r="W34" s="96">
        <v>2.3682260793592897</v>
      </c>
      <c r="X34" s="99">
        <v>0.40659227147027788</v>
      </c>
      <c r="Y34" s="99">
        <v>0.67735972851978687</v>
      </c>
      <c r="Z34" s="100">
        <v>0.83248488556640532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0.57863323202470118</v>
      </c>
      <c r="AH34" s="99">
        <v>2.8447530024829017</v>
      </c>
      <c r="AI34" s="99">
        <v>0.21507366740587619</v>
      </c>
      <c r="AJ34" s="99">
        <v>0.93113441542231146</v>
      </c>
      <c r="AK34" s="99">
        <v>0.6976866404455524</v>
      </c>
      <c r="AL34" s="100">
        <v>0.81848463599757815</v>
      </c>
      <c r="AM34" s="103">
        <f>'aij-UNIFAC (LLE)'!$D21*(1-LN(U34)-AG34)</f>
        <v>0.58158369448452341</v>
      </c>
      <c r="AN34" s="104">
        <f>'aij-UNIFAC (LLE)'!$D21*(1-LN(V34)-AH34)</f>
        <v>-0.82576569837952785</v>
      </c>
      <c r="AO34" s="104">
        <f>'aij-UNIFAC (LLE)'!$D21*(1-LN(W34)-AI34)</f>
        <v>-7.3199680239023693E-2</v>
      </c>
      <c r="AP34" s="104">
        <f>'aij-UNIFAC (LLE)'!$D21*(1-LN(X34)-AJ34)</f>
        <v>0.9184318517908644</v>
      </c>
      <c r="AQ34" s="104">
        <f>'aij-UNIFAC (LLE)'!$D21*(1-LN(Y34)-AK34)</f>
        <v>0.65588911019456353</v>
      </c>
      <c r="AR34" s="105">
        <f>'aij-UNIFAC (LLE)'!$D21*(1-LN(Z34)-AL34)</f>
        <v>0.34588308677849289</v>
      </c>
      <c r="AS34" s="5"/>
      <c r="AT34" s="35"/>
    </row>
    <row r="35" spans="1:46" s="72" customFormat="1" ht="13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0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0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</v>
      </c>
      <c r="L35" s="96">
        <f t="shared" si="4"/>
        <v>0</v>
      </c>
      <c r="M35" s="96">
        <f t="shared" si="5"/>
        <v>0</v>
      </c>
      <c r="N35" s="97">
        <f t="shared" si="6"/>
        <v>0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0</v>
      </c>
      <c r="U35" s="95">
        <v>0.30845260046880063</v>
      </c>
      <c r="V35" s="96">
        <v>0.97952198042295802</v>
      </c>
      <c r="W35" s="96">
        <v>3.1502073512249531</v>
      </c>
      <c r="X35" s="99">
        <v>0.43577561341522802</v>
      </c>
      <c r="Y35" s="99">
        <v>0.70930004031513261</v>
      </c>
      <c r="Z35" s="100">
        <v>0.45545406783222725</v>
      </c>
      <c r="AA35" s="101">
        <f t="shared" si="7"/>
        <v>0</v>
      </c>
      <c r="AB35" s="102">
        <f t="shared" si="8"/>
        <v>0</v>
      </c>
      <c r="AC35" s="102">
        <f t="shared" si="9"/>
        <v>0</v>
      </c>
      <c r="AD35" s="102">
        <f t="shared" si="10"/>
        <v>0</v>
      </c>
      <c r="AE35" s="102">
        <f t="shared" si="11"/>
        <v>0</v>
      </c>
      <c r="AF35" s="97">
        <f t="shared" si="12"/>
        <v>0</v>
      </c>
      <c r="AG35" s="95">
        <v>0.51711894719442197</v>
      </c>
      <c r="AH35" s="99">
        <v>0.61402880606444121</v>
      </c>
      <c r="AI35" s="99">
        <v>0.20043925300260515</v>
      </c>
      <c r="AJ35" s="99">
        <v>0.55943416113524624</v>
      </c>
      <c r="AK35" s="99">
        <v>1.3607228487842404E-2</v>
      </c>
      <c r="AL35" s="100">
        <v>0.54934874910373577</v>
      </c>
      <c r="AM35" s="103">
        <f>'aij-UNIFAC (LLE)'!$D22*(1-LN(U35)-AG35)</f>
        <v>2.0306994099754232</v>
      </c>
      <c r="AN35" s="104">
        <f>'aij-UNIFAC (LLE)'!$D22*(1-LN(V35)-AH35)</f>
        <v>0.49775403748716945</v>
      </c>
      <c r="AO35" s="104">
        <f>'aij-UNIFAC (LLE)'!$D22*(1-LN(W35)-AI35)</f>
        <v>-0.42583881605833529</v>
      </c>
      <c r="AP35" s="104">
        <f>'aij-UNIFAC (LLE)'!$D22*(1-LN(X35)-AJ35)</f>
        <v>1.5559410338483621</v>
      </c>
      <c r="AQ35" s="104">
        <f>'aij-UNIFAC (LLE)'!$D22*(1-LN(Y35)-AK35)</f>
        <v>1.6277601767487693</v>
      </c>
      <c r="AR35" s="105">
        <f>'aij-UNIFAC (LLE)'!$D22*(1-LN(Z35)-AL35)</f>
        <v>1.5142246684986853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2.0503538278558766</v>
      </c>
      <c r="V36" s="96">
        <v>0.33520819583743067</v>
      </c>
      <c r="W36" s="96">
        <v>1.0156941351581315</v>
      </c>
      <c r="X36" s="99">
        <v>0.58377730011932183</v>
      </c>
      <c r="Y36" s="99">
        <v>9.1085277291431094E-2</v>
      </c>
      <c r="Z36" s="100">
        <v>1.8654144190182169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0.56879262637943895</v>
      </c>
      <c r="AH36" s="99">
        <v>2.1070781895358692</v>
      </c>
      <c r="AI36" s="99">
        <v>0.38641478734573775</v>
      </c>
      <c r="AJ36" s="99">
        <v>1.3788492443411324</v>
      </c>
      <c r="AK36" s="99">
        <v>2.2005669737524269</v>
      </c>
      <c r="AL36" s="100">
        <v>0.72236966401842406</v>
      </c>
      <c r="AM36" s="103">
        <f>'aij-UNIFAC (LLE)'!$D23*(1-LN(U36)-AG36)</f>
        <v>-0.49559904620413536</v>
      </c>
      <c r="AN36" s="104">
        <f>'aij-UNIFAC (LLE)'!$D23*(1-LN(V36)-AH36)</f>
        <v>-2.432113249261178E-2</v>
      </c>
      <c r="AO36" s="104">
        <f>'aij-UNIFAC (LLE)'!$D23*(1-LN(W36)-AI36)</f>
        <v>1.0333663895141194</v>
      </c>
      <c r="AP36" s="104">
        <f>'aij-UNIFAC (LLE)'!$D23*(1-LN(X36)-AJ36)</f>
        <v>0.27541980279659878</v>
      </c>
      <c r="AQ36" s="104">
        <f>'aij-UNIFAC (LLE)'!$D23*(1-LN(Y36)-AK36)</f>
        <v>2.0656375910263742</v>
      </c>
      <c r="AR36" s="105">
        <f>'aij-UNIFAC (LLE)'!$D23*(1-LN(Z36)-AL36)</f>
        <v>-0.59763381295977336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0.9692909062056525</v>
      </c>
      <c r="V37" s="96">
        <v>0.34777469328542504</v>
      </c>
      <c r="W37" s="96">
        <v>0.85322789845515046</v>
      </c>
      <c r="X37" s="99">
        <v>0.68530262584419765</v>
      </c>
      <c r="Y37" s="99">
        <v>0.19565724355780065</v>
      </c>
      <c r="Z37" s="100">
        <v>0.91020345394870317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0.53539657257758122</v>
      </c>
      <c r="AH37" s="99">
        <v>0.59204268600520549</v>
      </c>
      <c r="AI37" s="99">
        <v>0.59195086276789954</v>
      </c>
      <c r="AJ37" s="99">
        <v>0.61869373743558698</v>
      </c>
      <c r="AK37" s="99">
        <v>2.0839850012723638E-2</v>
      </c>
      <c r="AL37" s="100">
        <v>0.57402583069504354</v>
      </c>
      <c r="AM37" s="103">
        <f>'aij-UNIFAC (LLE)'!$D24*(1-LN(U37)-AG37)</f>
        <v>0.38671926287756192</v>
      </c>
      <c r="AN37" s="104">
        <f>'aij-UNIFAC (LLE)'!$D24*(1-LN(V37)-AH37)</f>
        <v>1.1420430496531864</v>
      </c>
      <c r="AO37" s="104">
        <f>'aij-UNIFAC (LLE)'!$D24*(1-LN(W37)-AI37)</f>
        <v>0.44208663060146708</v>
      </c>
      <c r="AP37" s="104">
        <f>'aij-UNIFAC (LLE)'!$D24*(1-LN(X37)-AJ37)</f>
        <v>0.59217678880699831</v>
      </c>
      <c r="AQ37" s="104">
        <f>'aij-UNIFAC (LLE)'!$D24*(1-LN(Y37)-AK37)</f>
        <v>2.0362298252073976</v>
      </c>
      <c r="AR37" s="105">
        <f>'aij-UNIFAC (LLE)'!$D24*(1-LN(Z37)-AL37)</f>
        <v>0.40564781243822895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1.3568744777820623</v>
      </c>
      <c r="V38" s="96">
        <v>1.2152853310724232</v>
      </c>
      <c r="W38" s="96">
        <v>0.4011613164495576</v>
      </c>
      <c r="X38" s="99">
        <v>1.1991568611215302</v>
      </c>
      <c r="Y38" s="99">
        <v>1.8238706000168967</v>
      </c>
      <c r="Z38" s="100">
        <v>1.3149505122780933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0.43382746127342658</v>
      </c>
      <c r="AH38" s="99">
        <v>0.8295166855640751</v>
      </c>
      <c r="AI38" s="99">
        <v>0.16132741753108709</v>
      </c>
      <c r="AJ38" s="99">
        <v>0.99429360453296622</v>
      </c>
      <c r="AK38" s="99">
        <v>0.93356507274683387</v>
      </c>
      <c r="AL38" s="100">
        <v>0.47635984895828548</v>
      </c>
      <c r="AM38" s="103">
        <f>'aij-UNIFAC (LLE)'!$D25*(1-LN(U38)-AG38)</f>
        <v>0.43950490671429165</v>
      </c>
      <c r="AN38" s="104">
        <f>'aij-UNIFAC (LLE)'!$D25*(1-LN(V38)-AH38)</f>
        <v>-4.1250548594236533E-2</v>
      </c>
      <c r="AO38" s="104">
        <f>'aij-UNIFAC (LLE)'!$D25*(1-LN(W38)-AI38)</f>
        <v>2.9504761626955625</v>
      </c>
      <c r="AP38" s="104">
        <f>'aij-UNIFAC (LLE)'!$D25*(1-LN(X38)-AJ38)</f>
        <v>-0.29623631091775637</v>
      </c>
      <c r="AQ38" s="104">
        <f>'aij-UNIFAC (LLE)'!$D25*(1-LN(Y38)-AK38)</f>
        <v>-0.90014181584310815</v>
      </c>
      <c r="AR38" s="105">
        <f>'aij-UNIFAC (LLE)'!$D25*(1-LN(Z38)-AL38)</f>
        <v>0.42073244501694679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1.3848639347858271</v>
      </c>
      <c r="V39" s="96">
        <v>1.0661389947874791</v>
      </c>
      <c r="W39" s="96">
        <v>0.41513872381840344</v>
      </c>
      <c r="X39" s="99">
        <v>1.440700925065155</v>
      </c>
      <c r="Y39" s="99">
        <v>0.98168996942530318</v>
      </c>
      <c r="Z39" s="100">
        <v>1.3266836954903136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1.8743659237310248</v>
      </c>
      <c r="AH39" s="99">
        <v>0.97367544777067327</v>
      </c>
      <c r="AI39" s="99">
        <v>0.14164708151673475</v>
      </c>
      <c r="AJ39" s="99">
        <v>0.73243168452387264</v>
      </c>
      <c r="AK39" s="99">
        <v>0.94903465207294069</v>
      </c>
      <c r="AL39" s="100">
        <v>1.8371096178203787</v>
      </c>
      <c r="AM39" s="103">
        <f>'aij-UNIFAC (LLE)'!$D26*(1-LN(U39)-AG39)</f>
        <v>-2.6207297112630128</v>
      </c>
      <c r="AN39" s="104">
        <f>'aij-UNIFAC (LLE)'!$D26*(1-LN(V39)-AH39)</f>
        <v>-8.2378632599955134E-2</v>
      </c>
      <c r="AO39" s="104">
        <f>'aij-UNIFAC (LLE)'!$D26*(1-LN(W39)-AI39)</f>
        <v>3.7946900820862148</v>
      </c>
      <c r="AP39" s="104">
        <f>'aij-UNIFAC (LLE)'!$D26*(1-LN(X39)-AJ39)</f>
        <v>-0.21307417011575655</v>
      </c>
      <c r="AQ39" s="104">
        <f>'aij-UNIFAC (LLE)'!$D26*(1-LN(Y39)-AK39)</f>
        <v>0.15166805869245886</v>
      </c>
      <c r="AR39" s="105">
        <f>'aij-UNIFAC (LLE)'!$D26*(1-LN(Z39)-AL39)</f>
        <v>-2.4456256934118961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1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0.77291631056509436</v>
      </c>
      <c r="H40" s="36" t="str">
        <f t="shared" si="0"/>
        <v>ACNH2</v>
      </c>
      <c r="I40" s="107">
        <f t="shared" si="1"/>
        <v>0.14285714285714285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0.13065955320914269</v>
      </c>
      <c r="O40" s="107">
        <f>I40*'aij-UNIFAC (LLE)'!$D27/I$41</f>
        <v>0.17801047120418848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0.15665286355737792</v>
      </c>
      <c r="U40" s="107">
        <v>1.7619373843790695</v>
      </c>
      <c r="V40" s="108">
        <v>1.1515811011956607</v>
      </c>
      <c r="W40" s="108">
        <v>1.3106763532625894</v>
      </c>
      <c r="X40" s="111">
        <v>0.62840189069970886</v>
      </c>
      <c r="Y40" s="111">
        <v>0.10828498373142133</v>
      </c>
      <c r="Z40" s="112">
        <v>1.6935801415700185</v>
      </c>
      <c r="AA40" s="113">
        <f t="shared" si="7"/>
        <v>0.10103109950579871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9.2498051737991138E-2</v>
      </c>
      <c r="AG40" s="107">
        <v>0.93734892502243772</v>
      </c>
      <c r="AH40" s="111">
        <v>0.68784715442621713</v>
      </c>
      <c r="AI40" s="111">
        <v>1.8055381504365402</v>
      </c>
      <c r="AJ40" s="111">
        <v>1.2646199280179231</v>
      </c>
      <c r="AK40" s="111">
        <v>0.64845351251781025</v>
      </c>
      <c r="AL40" s="112">
        <v>0.99684681475290349</v>
      </c>
      <c r="AM40" s="115">
        <f>'aij-UNIFAC (LLE)'!$D27*(1-LN(U40)-AG40)</f>
        <v>-0.41107053882786032</v>
      </c>
      <c r="AN40" s="116">
        <f>'aij-UNIFAC (LLE)'!$D27*(1-LN(V40)-AH40)</f>
        <v>0.13954985312012019</v>
      </c>
      <c r="AO40" s="116">
        <f>'aij-UNIFAC (LLE)'!$D27*(1-LN(W40)-AI40)</f>
        <v>-0.87808246696417536</v>
      </c>
      <c r="AP40" s="116">
        <f>'aij-UNIFAC (LLE)'!$D27*(1-LN(X40)-AJ40)</f>
        <v>0.16316363564164588</v>
      </c>
      <c r="AQ40" s="116">
        <f>'aij-UNIFAC (LLE)'!$D27*(1-LN(Y40)-AK40)</f>
        <v>2.100820785578001</v>
      </c>
      <c r="AR40" s="117">
        <f>'aij-UNIFAC (LLE)'!$D27*(1-LN(Z40)-AL40)</f>
        <v>-0.42733228843915361</v>
      </c>
      <c r="AS40" s="5"/>
      <c r="AT40" s="5"/>
    </row>
    <row r="41" spans="1:46">
      <c r="A41" s="82" t="s">
        <v>143</v>
      </c>
      <c r="B41" s="83">
        <f>B21*SUM(B23:B40)</f>
        <v>5.4104141739556608</v>
      </c>
      <c r="C41" s="83">
        <f>C21*SUM(C23:C40)</f>
        <v>0.41700003128180807</v>
      </c>
      <c r="D41" s="83">
        <f>D21*SUM(D23:D40)</f>
        <v>8.8083679007636306E-2</v>
      </c>
      <c r="E41" s="83">
        <f>E21*SUM(E23:E40)</f>
        <v>7.0000000000000001E-20</v>
      </c>
      <c r="F41" s="83">
        <f>F21*SUM(F23:F40)</f>
        <v>9.9999999999999995E-21</v>
      </c>
      <c r="G41" s="83">
        <f>SUM(B41:F41)</f>
        <v>5.9154978842451049</v>
      </c>
      <c r="H41" s="118" t="s">
        <v>144</v>
      </c>
      <c r="I41" s="36">
        <f t="array" ref="I41">SUM(I23:I40*_QL)</f>
        <v>0.6548571428571428</v>
      </c>
      <c r="J41" s="36">
        <f t="array" ref="J41">SUM(J23:J40*_QL)</f>
        <v>0.86266666666666658</v>
      </c>
      <c r="K41" s="36">
        <f t="array" ref="K41">SUM(K23:K40*_QL)</f>
        <v>1.4</v>
      </c>
      <c r="L41" s="36">
        <f t="array" ref="L41">SUM(L23:L40*_QL)</f>
        <v>0.50114285714285722</v>
      </c>
      <c r="M41" s="36">
        <f t="array" ref="M41">SUM(M23:M40*_QL)</f>
        <v>0.84799999999999998</v>
      </c>
      <c r="N41" s="36">
        <f t="array" ref="N41">SUM(N23:N40*_QL)</f>
        <v>0.68060163726026568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145</v>
      </c>
      <c r="B42" s="119">
        <f>SUM(B23:B40)</f>
        <v>7</v>
      </c>
      <c r="C42" s="119">
        <f>SUM(C23:C40)</f>
        <v>3</v>
      </c>
      <c r="D42" s="119">
        <f>SUM(D23:D40)</f>
        <v>1</v>
      </c>
      <c r="E42" s="119">
        <f>SUM(E23:E40)</f>
        <v>7</v>
      </c>
      <c r="F42" s="119">
        <f>SUM(F23:F40)</f>
        <v>1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4.5840000000000005</v>
      </c>
      <c r="C44" s="58">
        <f t="array" ref="C44">SUM(C23:C40*_QL)</f>
        <v>2.5880000000000001</v>
      </c>
      <c r="D44" s="58">
        <f t="array" ref="D44">SUM(D23:D40*_QL)</f>
        <v>1.4</v>
      </c>
      <c r="E44" s="58">
        <f t="array" ref="E44">SUM(E23:E40*_QL)</f>
        <v>3.508</v>
      </c>
      <c r="F44" s="58">
        <f t="array" ref="F44">SUM(F23:F40*_QL)</f>
        <v>0.84799999999999998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5.7528000000000006</v>
      </c>
      <c r="C45" s="58">
        <f t="array" ref="C45">SUM(C23:C40*_RL)</f>
        <v>2.5754999999999999</v>
      </c>
      <c r="D45" s="58">
        <f t="array" ref="D45">SUM(D23:D40*_RL)</f>
        <v>0.92</v>
      </c>
      <c r="E45" s="58">
        <f t="array" ref="E45">SUM(E23:E40*_RL)</f>
        <v>4.5972</v>
      </c>
      <c r="F45" s="58">
        <f t="array" ref="F45">SUM(F23:F40*_RL)</f>
        <v>0.90110000000000001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146</v>
      </c>
      <c r="B46" s="58">
        <f>B21*B44/SUMPRODUCT($B44:$F44,$B21:$F21)</f>
        <v>0.88002049821938777</v>
      </c>
      <c r="C46" s="58">
        <f>C21*C44/SUMPRODUCT($B44:$F44,$B21:$F21)</f>
        <v>8.9350052487489687E-2</v>
      </c>
      <c r="D46" s="58">
        <f>D21*D44/SUMPRODUCT($B44:$F44,$B21:$F21)</f>
        <v>3.0629449293122453E-2</v>
      </c>
      <c r="E46" s="58">
        <f>E21*E44/SUMPRODUCT($B44:$F44,$B21:$F21)</f>
        <v>8.7131520302058043E-21</v>
      </c>
      <c r="F46" s="58">
        <f>F21*F44/SUMPRODUCT($B44:$F44,$B21:$F21)</f>
        <v>2.1062579594112094E-21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147</v>
      </c>
      <c r="B47" s="58">
        <f>B21*B45/SUMPRODUCT($B45:$F45,$B21:$F21)</f>
        <v>0.91013515401228862</v>
      </c>
      <c r="C47" s="58">
        <f>C21*C45/SUMPRODUCT($B45:$F45,$B21:$F21)</f>
        <v>7.3277480487174251E-2</v>
      </c>
      <c r="D47" s="58">
        <f>D21*D45/SUMPRODUCT($B45:$F45,$B21:$F21)</f>
        <v>1.6587365500537219E-2</v>
      </c>
      <c r="E47" s="58">
        <f>E21*E45/SUMPRODUCT($B45:$F45,$B21:$F21)</f>
        <v>9.409954846367667E-21</v>
      </c>
      <c r="F47" s="58">
        <f>F21*F45/SUMPRODUCT($B45:$F45,$B21:$F21)</f>
        <v>1.8444510380366102E-21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148</v>
      </c>
      <c r="B48" s="58">
        <f>LN(B47/B21)+(1-B47/B21)-5*B44*(LN(B47/B46)+(1-B47/B46))</f>
        <v>-9.9000257149135622E-4</v>
      </c>
      <c r="C48" s="58">
        <f>LN(C47/C21)+(1-C47/C21)-5*C44*(LN(C47/C46)+(1-C47/C46))</f>
        <v>7.1026716688775443E-2</v>
      </c>
      <c r="D48" s="58">
        <f>LN(D47/D21)+(1-D47/D21)-5*D44*(LN(D47/D46)+(1-D47/D46))</f>
        <v>0.22613194237326117</v>
      </c>
      <c r="E48" s="58">
        <f>LN(E47/E21)+(1-E47/E21)-5*E44*(LN(E47/E46)+(1-E47/E46))</f>
        <v>5.1453740913861762E-2</v>
      </c>
      <c r="F48" s="58">
        <f>LN(F47/F21)+(1-F47/F21)-5*F44*(LN(F47/F46)+(1-F47/F46))</f>
        <v>-0.83909831257992296</v>
      </c>
      <c r="G48" s="121"/>
      <c r="I48" s="122"/>
    </row>
    <row r="49" spans="1:7">
      <c r="A49" s="72" t="s">
        <v>149</v>
      </c>
      <c r="B49" s="58">
        <f t="array" ref="B49">SUM(B23:B35*AM23:AM35)</f>
        <v>-2.1246976050757991</v>
      </c>
      <c r="C49" s="58">
        <f t="array" ref="C49">SUM(C23:C35*AN23:AN35)</f>
        <v>1.0803140491145307</v>
      </c>
      <c r="D49" s="58">
        <f t="array" ref="D49">SUM(D23:D35*AO23:AO35)</f>
        <v>0</v>
      </c>
      <c r="E49" s="58">
        <f t="array" ref="E49">SUM(E23:E35*AP23:AP35)</f>
        <v>-3.512354332892053E-3</v>
      </c>
      <c r="F49" s="58">
        <f t="array" ref="F49">SUM(F23:F35*AQ23:AQ35)</f>
        <v>0</v>
      </c>
      <c r="G49" s="121"/>
    </row>
    <row r="50" spans="1:7">
      <c r="A50" s="72" t="s">
        <v>150</v>
      </c>
      <c r="B50" s="58">
        <f t="array" ref="B50">SUM(B23:B35*$AR23:$AR35)</f>
        <v>-2.085423957106181</v>
      </c>
      <c r="C50" s="58">
        <f t="array" ref="C50">SUM(C23:C35*$AR23:$AR35)</f>
        <v>2.0963396735804434</v>
      </c>
      <c r="D50" s="58">
        <f t="array" ref="D50">SUM(D23:D35*$AR23:$AR35)</f>
        <v>0.41304297309386179</v>
      </c>
      <c r="E50" s="58">
        <f t="array" ref="E50">SUM(E23:E35*$AR23:$AR35)</f>
        <v>1.3254777122478749</v>
      </c>
      <c r="F50" s="58">
        <f t="array" ref="F50">SUM(F23:F35*$AR23:$AR35)</f>
        <v>0.64890879298664916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X62"/>
  <sheetViews>
    <sheetView topLeftCell="A21" zoomScale="150" zoomScaleNormal="150" zoomScalePageLayoutView="15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6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179</v>
      </c>
      <c r="K1"/>
    </row>
    <row r="2" spans="1:23">
      <c r="A2" s="123" t="s">
        <v>153</v>
      </c>
      <c r="K2"/>
    </row>
    <row r="3" spans="1:23" s="123" customFormat="1" ht="15">
      <c r="A3" s="123" t="s">
        <v>180</v>
      </c>
      <c r="K3"/>
    </row>
    <row r="4" spans="1:23" s="123" customFormat="1" ht="13">
      <c r="A4" s="123" t="s">
        <v>154</v>
      </c>
      <c r="K4"/>
    </row>
    <row r="5" spans="1:23" s="123" customFormat="1" ht="13">
      <c r="A5" s="123" t="s">
        <v>155</v>
      </c>
      <c r="J5" s="123" t="s">
        <v>181</v>
      </c>
      <c r="K5"/>
    </row>
    <row r="6" spans="1:23" s="123" customFormat="1" ht="13">
      <c r="A6" s="5" t="s">
        <v>156</v>
      </c>
      <c r="B6" s="123">
        <f>'UNIFAC (LLEa)'!B11</f>
        <v>132.69999999999999</v>
      </c>
      <c r="C6" s="123" t="s">
        <v>129</v>
      </c>
      <c r="J6" s="139" t="s">
        <v>182</v>
      </c>
      <c r="K6"/>
    </row>
    <row r="7" spans="1:23" ht="18">
      <c r="B7"/>
      <c r="C7"/>
      <c r="D7" s="43"/>
      <c r="E7" s="124" t="s">
        <v>157</v>
      </c>
      <c r="F7" s="43"/>
      <c r="G7" s="43"/>
      <c r="H7" s="43"/>
      <c r="I7" s="148" t="s">
        <v>183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3">
      <c r="A8" s="150" t="s">
        <v>158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159</v>
      </c>
      <c r="B9"/>
      <c r="C9" s="125" t="s">
        <v>160</v>
      </c>
      <c r="D9" s="125" t="s">
        <v>135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161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162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163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164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165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166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167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245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169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170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171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172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175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173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184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185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176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174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177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1.3269235290790162</v>
      </c>
      <c r="I31" s="59">
        <f t="shared" si="4"/>
        <v>1.3298693373824975</v>
      </c>
      <c r="J31" s="59">
        <f t="shared" si="4"/>
        <v>1.3298693373824975</v>
      </c>
      <c r="K31" s="59">
        <f t="shared" si="4"/>
        <v>0.20427839606361714</v>
      </c>
      <c r="L31" s="59">
        <f t="shared" si="4"/>
        <v>0.46507631153774737</v>
      </c>
      <c r="M31" s="59">
        <f t="shared" si="4"/>
        <v>4.0633847615573683E-2</v>
      </c>
      <c r="N31" s="59">
        <f t="shared" si="4"/>
        <v>3.8632750753025977E-3</v>
      </c>
      <c r="O31" s="59">
        <f t="shared" si="4"/>
        <v>0.31208813982240985</v>
      </c>
      <c r="P31" s="59">
        <f t="shared" si="4"/>
        <v>0.67735972851978687</v>
      </c>
      <c r="Q31" s="59">
        <f t="shared" si="4"/>
        <v>0.70930004031513261</v>
      </c>
      <c r="R31" s="59">
        <f t="shared" si="4"/>
        <v>9.1085277291431094E-2</v>
      </c>
      <c r="S31" s="59">
        <f t="shared" si="4"/>
        <v>0.19565724355780065</v>
      </c>
      <c r="T31" s="59">
        <f t="shared" si="4"/>
        <v>1.8238706000168967</v>
      </c>
      <c r="U31" s="59">
        <f t="shared" si="4"/>
        <v>0.98168996942530318</v>
      </c>
      <c r="V31" s="59">
        <f t="shared" si="4"/>
        <v>0.10828498373142133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1.3269235290790162</v>
      </c>
      <c r="I32" s="59">
        <f t="shared" si="5"/>
        <v>1.3298693373824975</v>
      </c>
      <c r="J32" s="59">
        <f t="shared" si="5"/>
        <v>1.3298693373824975</v>
      </c>
      <c r="K32" s="59">
        <f t="shared" si="5"/>
        <v>0.20427839606361714</v>
      </c>
      <c r="L32" s="59">
        <f t="shared" si="5"/>
        <v>0.46507631153774737</v>
      </c>
      <c r="M32" s="59">
        <f t="shared" si="5"/>
        <v>4.0633847615573683E-2</v>
      </c>
      <c r="N32" s="59">
        <f t="shared" si="5"/>
        <v>3.8632750753025977E-3</v>
      </c>
      <c r="O32" s="59">
        <f t="shared" si="5"/>
        <v>0.31208813982240985</v>
      </c>
      <c r="P32" s="59">
        <f t="shared" si="5"/>
        <v>0.67735972851978687</v>
      </c>
      <c r="Q32" s="59">
        <f t="shared" si="5"/>
        <v>0.70930004031513261</v>
      </c>
      <c r="R32" s="59">
        <f t="shared" si="5"/>
        <v>9.1085277291431094E-2</v>
      </c>
      <c r="S32" s="59">
        <f t="shared" si="5"/>
        <v>0.19565724355780065</v>
      </c>
      <c r="T32" s="59">
        <f t="shared" si="5"/>
        <v>1.8238706000168967</v>
      </c>
      <c r="U32" s="59">
        <f t="shared" si="5"/>
        <v>0.98168996942530318</v>
      </c>
      <c r="V32" s="59">
        <f t="shared" si="5"/>
        <v>0.10828498373142133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1.3269235290790162</v>
      </c>
      <c r="I33" s="59">
        <f t="shared" si="6"/>
        <v>1.3298693373824975</v>
      </c>
      <c r="J33" s="59">
        <f t="shared" si="6"/>
        <v>1.3298693373824975</v>
      </c>
      <c r="K33" s="59">
        <f t="shared" si="6"/>
        <v>0.20427839606361714</v>
      </c>
      <c r="L33" s="59">
        <f t="shared" si="6"/>
        <v>0.46507631153774737</v>
      </c>
      <c r="M33" s="59">
        <f t="shared" si="6"/>
        <v>4.0633847615573683E-2</v>
      </c>
      <c r="N33" s="59">
        <f t="shared" si="6"/>
        <v>3.8632750753025977E-3</v>
      </c>
      <c r="O33" s="59">
        <f t="shared" si="6"/>
        <v>0.31208813982240985</v>
      </c>
      <c r="P33" s="59">
        <f t="shared" si="6"/>
        <v>0.67735972851978687</v>
      </c>
      <c r="Q33" s="59">
        <f t="shared" si="6"/>
        <v>0.70930004031513261</v>
      </c>
      <c r="R33" s="59">
        <f t="shared" si="6"/>
        <v>9.1085277291431094E-2</v>
      </c>
      <c r="S33" s="59">
        <f t="shared" si="6"/>
        <v>0.19565724355780065</v>
      </c>
      <c r="T33" s="59">
        <f t="shared" si="6"/>
        <v>1.8238706000168967</v>
      </c>
      <c r="U33" s="59">
        <f t="shared" si="6"/>
        <v>0.98168996942530318</v>
      </c>
      <c r="V33" s="59">
        <f t="shared" si="6"/>
        <v>0.10828498373142133</v>
      </c>
    </row>
    <row r="34" spans="2:24">
      <c r="B34"/>
      <c r="C34"/>
      <c r="D34" s="39" t="str">
        <f t="shared" si="2"/>
        <v>ACH</v>
      </c>
      <c r="E34" s="59">
        <f t="shared" si="3"/>
        <v>0.68003538377021311</v>
      </c>
      <c r="F34" s="59">
        <f t="shared" ref="F34:V34" si="7">EXP(-F13/($B$6+273.15))</f>
        <v>0.68003538377021311</v>
      </c>
      <c r="G34" s="59">
        <f t="shared" si="7"/>
        <v>0.68003538377021311</v>
      </c>
      <c r="H34" s="59">
        <f t="shared" si="7"/>
        <v>1</v>
      </c>
      <c r="I34" s="59">
        <f t="shared" si="7"/>
        <v>0.66266739942770436</v>
      </c>
      <c r="J34" s="59">
        <f t="shared" si="7"/>
        <v>0.66266739942770436</v>
      </c>
      <c r="K34" s="59">
        <f t="shared" si="7"/>
        <v>0.1765087859910848</v>
      </c>
      <c r="L34" s="59">
        <f t="shared" si="7"/>
        <v>0.24112333407046924</v>
      </c>
      <c r="M34" s="59">
        <f t="shared" si="7"/>
        <v>0.12032833981603797</v>
      </c>
      <c r="N34" s="59">
        <f t="shared" si="7"/>
        <v>1.7196017001074239E-2</v>
      </c>
      <c r="O34" s="59">
        <f t="shared" si="7"/>
        <v>0.2315740155685761</v>
      </c>
      <c r="P34" s="59">
        <f t="shared" si="7"/>
        <v>0.40955079363458008</v>
      </c>
      <c r="Q34" s="59">
        <f t="shared" si="7"/>
        <v>0.3205045472184222</v>
      </c>
      <c r="R34" s="59">
        <f t="shared" si="7"/>
        <v>0.98532495652675589</v>
      </c>
      <c r="S34" s="59">
        <f t="shared" si="7"/>
        <v>0.9238626924403025</v>
      </c>
      <c r="T34" s="59">
        <f t="shared" si="7"/>
        <v>1</v>
      </c>
      <c r="U34" s="59">
        <f t="shared" si="7"/>
        <v>1.7707326224473954</v>
      </c>
      <c r="V34" s="59">
        <f t="shared" si="7"/>
        <v>0.99596725164657141</v>
      </c>
    </row>
    <row r="35" spans="2:24">
      <c r="B35"/>
      <c r="C35"/>
      <c r="D35" s="39" t="str">
        <f t="shared" si="2"/>
        <v>ACCH2</v>
      </c>
      <c r="E35" s="59">
        <f t="shared" si="3"/>
        <v>0.77318425461783513</v>
      </c>
      <c r="F35" s="59">
        <f t="shared" ref="F35:V35" si="8">EXP(-F14/($B$6+273.15))</f>
        <v>0.77318425461783513</v>
      </c>
      <c r="G35" s="59">
        <f t="shared" si="8"/>
        <v>0.77318425461783513</v>
      </c>
      <c r="H35" s="59">
        <f t="shared" si="8"/>
        <v>1.4357824922715015</v>
      </c>
      <c r="I35" s="59">
        <f t="shared" si="8"/>
        <v>1</v>
      </c>
      <c r="J35" s="59">
        <f t="shared" si="8"/>
        <v>1</v>
      </c>
      <c r="K35" s="59">
        <f t="shared" si="8"/>
        <v>5.2439099268146109E-5</v>
      </c>
      <c r="L35" s="59">
        <f t="shared" si="8"/>
        <v>0.10706458529261202</v>
      </c>
      <c r="M35" s="59">
        <f t="shared" si="8"/>
        <v>8.0511723612174953E-7</v>
      </c>
      <c r="N35" s="59">
        <f t="shared" si="8"/>
        <v>0.48628713429597714</v>
      </c>
      <c r="O35" s="59">
        <f t="shared" si="8"/>
        <v>0.10448452815353718</v>
      </c>
      <c r="P35" s="59">
        <f t="shared" si="8"/>
        <v>4.9731895854235916E-2</v>
      </c>
      <c r="Q35" s="59">
        <f t="shared" si="8"/>
        <v>0.43364442914627782</v>
      </c>
      <c r="R35" s="59">
        <f t="shared" si="8"/>
        <v>8.1912414485146932E-7</v>
      </c>
      <c r="S35" s="59">
        <f t="shared" si="8"/>
        <v>0.59151346067246291</v>
      </c>
      <c r="T35" s="59">
        <f t="shared" si="8"/>
        <v>1</v>
      </c>
      <c r="U35" s="59">
        <f t="shared" si="8"/>
        <v>1.0303644032744175</v>
      </c>
      <c r="V35" s="59">
        <f t="shared" si="8"/>
        <v>0.18283888345028881</v>
      </c>
    </row>
    <row r="36" spans="2:24">
      <c r="B36"/>
      <c r="C36"/>
      <c r="D36" s="39" t="str">
        <f t="shared" si="2"/>
        <v>ACCH3</v>
      </c>
      <c r="E36" s="59">
        <f t="shared" si="3"/>
        <v>0.77318425461783513</v>
      </c>
      <c r="F36" s="59">
        <f t="shared" ref="F36:V36" si="9">EXP(-F15/($B$6+273.15))</f>
        <v>0.77318425461783513</v>
      </c>
      <c r="G36" s="59">
        <f t="shared" si="9"/>
        <v>0.77318425461783513</v>
      </c>
      <c r="H36" s="59">
        <f t="shared" si="9"/>
        <v>1.4357824922715015</v>
      </c>
      <c r="I36" s="59">
        <f t="shared" si="9"/>
        <v>1</v>
      </c>
      <c r="J36" s="59">
        <f t="shared" si="9"/>
        <v>1</v>
      </c>
      <c r="K36" s="59">
        <f t="shared" si="9"/>
        <v>5.2439099268146109E-5</v>
      </c>
      <c r="L36" s="59">
        <f t="shared" si="9"/>
        <v>0.10706458529261202</v>
      </c>
      <c r="M36" s="59">
        <f t="shared" si="9"/>
        <v>8.0511723612174953E-7</v>
      </c>
      <c r="N36" s="59">
        <f t="shared" si="9"/>
        <v>0.48628713429597714</v>
      </c>
      <c r="O36" s="59">
        <f t="shared" si="9"/>
        <v>0.10448452815353718</v>
      </c>
      <c r="P36" s="59">
        <f t="shared" si="9"/>
        <v>4.9731895854235916E-2</v>
      </c>
      <c r="Q36" s="59">
        <f t="shared" si="9"/>
        <v>0.43364442914627782</v>
      </c>
      <c r="R36" s="59">
        <f t="shared" si="9"/>
        <v>8.1912414485146932E-7</v>
      </c>
      <c r="S36" s="59">
        <f t="shared" si="9"/>
        <v>0.59151346067246291</v>
      </c>
      <c r="T36" s="59">
        <f t="shared" si="9"/>
        <v>1</v>
      </c>
      <c r="U36" s="59">
        <f t="shared" si="9"/>
        <v>1.0303644032744175</v>
      </c>
      <c r="V36" s="59">
        <f t="shared" si="9"/>
        <v>0.18283888345028881</v>
      </c>
    </row>
    <row r="37" spans="2:24">
      <c r="B37"/>
      <c r="C37"/>
      <c r="D37" s="39" t="str">
        <f t="shared" si="2"/>
        <v>OH</v>
      </c>
      <c r="E37" s="59">
        <f t="shared" si="3"/>
        <v>0.44544871563983901</v>
      </c>
      <c r="F37" s="59">
        <f t="shared" ref="F37:V37" si="10">EXP(-F16/($B$6+273.15))</f>
        <v>0.44544871563983901</v>
      </c>
      <c r="G37" s="59">
        <f t="shared" si="10"/>
        <v>0.44544871563983901</v>
      </c>
      <c r="H37" s="59">
        <f t="shared" si="10"/>
        <v>1.0229525607533994</v>
      </c>
      <c r="I37" s="59">
        <f t="shared" si="10"/>
        <v>0.99687565601365813</v>
      </c>
      <c r="J37" s="59">
        <f t="shared" si="10"/>
        <v>0.99687565601365813</v>
      </c>
      <c r="K37" s="59">
        <f t="shared" si="10"/>
        <v>1</v>
      </c>
      <c r="L37" s="59">
        <f t="shared" si="10"/>
        <v>8.6940784708774491E-2</v>
      </c>
      <c r="M37" s="59">
        <f t="shared" si="10"/>
        <v>0.93165779857703845</v>
      </c>
      <c r="N37" s="59">
        <f t="shared" si="10"/>
        <v>1.6188322620787392</v>
      </c>
      <c r="O37" s="59">
        <f t="shared" si="10"/>
        <v>0.84767489072174562</v>
      </c>
      <c r="P37" s="59">
        <f t="shared" si="10"/>
        <v>3.1063368767521075E-2</v>
      </c>
      <c r="Q37" s="59">
        <f t="shared" si="10"/>
        <v>1.292078691147676</v>
      </c>
      <c r="R37" s="59">
        <f t="shared" si="10"/>
        <v>0.61757703828897015</v>
      </c>
      <c r="S37" s="59">
        <f t="shared" si="10"/>
        <v>0.52372387680371058</v>
      </c>
      <c r="T37" s="59">
        <f t="shared" si="10"/>
        <v>0.51135503665998217</v>
      </c>
      <c r="U37" s="59">
        <f t="shared" si="10"/>
        <v>1.1638183674563962</v>
      </c>
      <c r="V37" s="59">
        <f t="shared" si="10"/>
        <v>2.3583269437292973</v>
      </c>
    </row>
    <row r="38" spans="2:24">
      <c r="B38"/>
      <c r="C38"/>
      <c r="D38" s="39" t="str">
        <f t="shared" si="2"/>
        <v>2-Propanol</v>
      </c>
      <c r="E38" s="59">
        <f t="shared" si="3"/>
        <v>1.38402638323431</v>
      </c>
      <c r="F38" s="59">
        <f t="shared" ref="F38:V38" si="11">EXP(-F17/($B$6+273.15))</f>
        <v>1.38402638323431</v>
      </c>
      <c r="G38" s="59">
        <f t="shared" si="11"/>
        <v>1.38402638323431</v>
      </c>
      <c r="H38" s="59">
        <f t="shared" si="11"/>
        <v>1.8606372912877631</v>
      </c>
      <c r="I38" s="59">
        <f t="shared" si="11"/>
        <v>1.962345992378679</v>
      </c>
      <c r="J38" s="59">
        <f t="shared" si="11"/>
        <v>1.962345992378679</v>
      </c>
      <c r="K38" s="59">
        <f t="shared" si="11"/>
        <v>1.9392739737276263</v>
      </c>
      <c r="L38" s="59">
        <f t="shared" si="11"/>
        <v>1</v>
      </c>
      <c r="M38" s="59">
        <f t="shared" si="11"/>
        <v>0.98559205135186301</v>
      </c>
      <c r="N38" s="59">
        <f t="shared" si="11"/>
        <v>1.4586033441785842</v>
      </c>
      <c r="O38" s="59">
        <f t="shared" si="11"/>
        <v>0.41821875468187647</v>
      </c>
      <c r="P38" s="59">
        <f t="shared" si="11"/>
        <v>2.3031975258748942</v>
      </c>
      <c r="Q38" s="59">
        <f t="shared" si="11"/>
        <v>1.153569055392565</v>
      </c>
      <c r="R38" s="59">
        <f t="shared" si="11"/>
        <v>0.3011348472151783</v>
      </c>
      <c r="S38" s="59">
        <f t="shared" si="11"/>
        <v>7.7970478144705471E-3</v>
      </c>
      <c r="T38" s="59">
        <f t="shared" si="11"/>
        <v>0.28616085886142539</v>
      </c>
      <c r="U38" s="59">
        <f t="shared" si="11"/>
        <v>2.227342050070983E-2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0.43013272665828584</v>
      </c>
      <c r="F39" s="59">
        <f t="shared" ref="F39:V39" si="12">EXP(-F18/($B$6+273.15))</f>
        <v>0.43013272665828584</v>
      </c>
      <c r="G39" s="59">
        <f t="shared" si="12"/>
        <v>0.43013272665828584</v>
      </c>
      <c r="H39" s="59">
        <f t="shared" si="12"/>
        <v>0.39909093824900943</v>
      </c>
      <c r="I39" s="59">
        <f t="shared" si="12"/>
        <v>0.60537355058662956</v>
      </c>
      <c r="J39" s="59">
        <f t="shared" si="12"/>
        <v>0.60537355058662956</v>
      </c>
      <c r="K39" s="59">
        <f t="shared" si="12"/>
        <v>1.3520057858881673</v>
      </c>
      <c r="L39" s="59">
        <f t="shared" si="12"/>
        <v>0.77223229185387998</v>
      </c>
      <c r="M39" s="59">
        <f t="shared" si="12"/>
        <v>1</v>
      </c>
      <c r="N39" s="59">
        <f t="shared" si="12"/>
        <v>0.42791282811847325</v>
      </c>
      <c r="O39" s="59">
        <f t="shared" si="12"/>
        <v>1.5270062272903357</v>
      </c>
      <c r="P39" s="59">
        <f t="shared" si="12"/>
        <v>2.3682260793592897</v>
      </c>
      <c r="Q39" s="59">
        <f t="shared" si="12"/>
        <v>3.1502073512249531</v>
      </c>
      <c r="R39" s="59">
        <f t="shared" si="12"/>
        <v>1.0156941351581315</v>
      </c>
      <c r="S39" s="59">
        <f t="shared" si="12"/>
        <v>0.85322789845515046</v>
      </c>
      <c r="T39" s="59">
        <f t="shared" si="12"/>
        <v>0.4011613164495576</v>
      </c>
      <c r="U39" s="59">
        <f t="shared" si="12"/>
        <v>0.41513872381840344</v>
      </c>
      <c r="V39" s="59">
        <f t="shared" si="12"/>
        <v>1.3106763532625894</v>
      </c>
    </row>
    <row r="40" spans="2:24">
      <c r="B40"/>
      <c r="C40"/>
      <c r="D40" s="39" t="str">
        <f t="shared" si="2"/>
        <v>ACOH</v>
      </c>
      <c r="E40" s="59">
        <f t="shared" si="3"/>
        <v>1.4825173130803633</v>
      </c>
      <c r="F40" s="59">
        <f t="shared" ref="F40:V40" si="13">EXP(-F19/($B$6+273.15))</f>
        <v>1.4825173130803633</v>
      </c>
      <c r="G40" s="59">
        <f t="shared" si="13"/>
        <v>1.4825173130803633</v>
      </c>
      <c r="H40" s="59">
        <f t="shared" si="13"/>
        <v>3.2089635723477281</v>
      </c>
      <c r="I40" s="59">
        <f t="shared" si="13"/>
        <v>3.1869008038120024</v>
      </c>
      <c r="J40" s="59">
        <f t="shared" si="13"/>
        <v>3.1869008038120024</v>
      </c>
      <c r="K40" s="59">
        <f t="shared" si="13"/>
        <v>1.1683580176159212</v>
      </c>
      <c r="L40" s="59">
        <f t="shared" si="13"/>
        <v>3.850801793804663</v>
      </c>
      <c r="M40" s="59">
        <f t="shared" si="13"/>
        <v>4.3417455027045122</v>
      </c>
      <c r="N40" s="59">
        <f t="shared" si="13"/>
        <v>1</v>
      </c>
      <c r="O40" s="59">
        <f t="shared" si="13"/>
        <v>7.6483925629142675</v>
      </c>
      <c r="P40" s="59">
        <f t="shared" si="13"/>
        <v>1</v>
      </c>
      <c r="Q40" s="59">
        <f t="shared" si="13"/>
        <v>1</v>
      </c>
      <c r="R40" s="59">
        <f t="shared" si="13"/>
        <v>9.1465734914026431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8.1523985478494687</v>
      </c>
    </row>
    <row r="41" spans="2:24">
      <c r="B41"/>
      <c r="C41"/>
      <c r="D41" s="39" t="str">
        <f t="shared" si="2"/>
        <v>CH3CO</v>
      </c>
      <c r="E41" s="59">
        <f t="shared" si="3"/>
        <v>0.8487407671189976</v>
      </c>
      <c r="F41" s="59">
        <f t="shared" ref="F41:V41" si="14">EXP(-F20/($B$6+273.15))</f>
        <v>0.8487407671189976</v>
      </c>
      <c r="G41" s="59">
        <f t="shared" si="14"/>
        <v>0.8487407671189976</v>
      </c>
      <c r="H41" s="59">
        <f t="shared" si="14"/>
        <v>1.2128258639270093</v>
      </c>
      <c r="I41" s="59">
        <f t="shared" si="14"/>
        <v>1.1996298597582522</v>
      </c>
      <c r="J41" s="59">
        <f t="shared" si="14"/>
        <v>1.1996298597582522</v>
      </c>
      <c r="K41" s="59">
        <f t="shared" si="14"/>
        <v>0.58730186783362681</v>
      </c>
      <c r="L41" s="59">
        <f t="shared" si="14"/>
        <v>1.3694399663965062</v>
      </c>
      <c r="M41" s="59">
        <f t="shared" si="14"/>
        <v>0.20927111292695758</v>
      </c>
      <c r="N41" s="59">
        <f t="shared" si="14"/>
        <v>4.0533019560805776</v>
      </c>
      <c r="O41" s="59">
        <f t="shared" si="14"/>
        <v>1</v>
      </c>
      <c r="P41" s="59">
        <f t="shared" si="14"/>
        <v>1.0964237142701492</v>
      </c>
      <c r="Q41" s="59">
        <f t="shared" si="14"/>
        <v>4.6302294814879671E-2</v>
      </c>
      <c r="R41" s="59">
        <f t="shared" si="14"/>
        <v>0.52865056605828786</v>
      </c>
      <c r="S41" s="59">
        <f t="shared" si="14"/>
        <v>0.98726425143966889</v>
      </c>
      <c r="T41" s="59">
        <f t="shared" si="14"/>
        <v>2.0994036331673209</v>
      </c>
      <c r="U41" s="59">
        <f t="shared" si="14"/>
        <v>0.97084134847338488</v>
      </c>
      <c r="V41" s="59">
        <f t="shared" si="14"/>
        <v>8.3025776089718811E-2</v>
      </c>
    </row>
    <row r="42" spans="2:24">
      <c r="B42"/>
      <c r="C42"/>
      <c r="D42" s="39" t="str">
        <f t="shared" si="2"/>
        <v>CHO</v>
      </c>
      <c r="E42" s="59">
        <f t="shared" si="3"/>
        <v>0.6976866404455524</v>
      </c>
      <c r="F42" s="59">
        <f t="shared" ref="F42:V42" si="15">EXP(-F21/($B$6+273.15))</f>
        <v>0.6976866404455524</v>
      </c>
      <c r="G42" s="59">
        <f t="shared" si="15"/>
        <v>0.6976866404455524</v>
      </c>
      <c r="H42" s="59">
        <f t="shared" si="15"/>
        <v>1.2038641740523772</v>
      </c>
      <c r="I42" s="59">
        <f t="shared" si="15"/>
        <v>0.57697468863443468</v>
      </c>
      <c r="J42" s="59">
        <f t="shared" si="15"/>
        <v>0.57697468863443468</v>
      </c>
      <c r="K42" s="59">
        <f t="shared" si="15"/>
        <v>2.8941975766425756</v>
      </c>
      <c r="L42" s="59">
        <f t="shared" si="15"/>
        <v>0.56543417609684099</v>
      </c>
      <c r="M42" s="59">
        <f t="shared" si="15"/>
        <v>0.21507366740587619</v>
      </c>
      <c r="N42" s="59">
        <f t="shared" si="15"/>
        <v>1</v>
      </c>
      <c r="O42" s="59">
        <f t="shared" si="15"/>
        <v>0.7295061661968103</v>
      </c>
      <c r="P42" s="59">
        <f t="shared" si="15"/>
        <v>1</v>
      </c>
      <c r="Q42" s="59">
        <f t="shared" si="15"/>
        <v>0.99815373306231947</v>
      </c>
      <c r="R42" s="59">
        <f t="shared" si="15"/>
        <v>1.8324291275449005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1.3607228487842404E-2</v>
      </c>
      <c r="F43" s="59">
        <f t="shared" ref="F43:V43" si="16">EXP(-F22/($B$6+273.15))</f>
        <v>1.3607228487842404E-2</v>
      </c>
      <c r="G43" s="59">
        <f t="shared" si="16"/>
        <v>1.3607228487842404E-2</v>
      </c>
      <c r="H43" s="59">
        <f t="shared" si="16"/>
        <v>0.83026970803814104</v>
      </c>
      <c r="I43" s="59">
        <f t="shared" si="16"/>
        <v>0.695626797022034</v>
      </c>
      <c r="J43" s="59">
        <f t="shared" si="16"/>
        <v>0.695626797022034</v>
      </c>
      <c r="K43" s="59">
        <f t="shared" si="16"/>
        <v>0.74696765172369783</v>
      </c>
      <c r="L43" s="59">
        <f t="shared" si="16"/>
        <v>0.42309014514446525</v>
      </c>
      <c r="M43" s="59">
        <f t="shared" si="16"/>
        <v>0.20043925300260515</v>
      </c>
      <c r="N43" s="59">
        <f t="shared" si="16"/>
        <v>1</v>
      </c>
      <c r="O43" s="59">
        <f t="shared" si="16"/>
        <v>1.2835114032250559</v>
      </c>
      <c r="P43" s="59">
        <f t="shared" si="16"/>
        <v>7.5048049590466626E-2</v>
      </c>
      <c r="Q43" s="59">
        <f t="shared" si="16"/>
        <v>1</v>
      </c>
      <c r="R43" s="59">
        <f t="shared" si="16"/>
        <v>1.3361097599939102</v>
      </c>
      <c r="S43" s="59">
        <f t="shared" si="16"/>
        <v>1.2687957874878741</v>
      </c>
      <c r="T43" s="59">
        <f t="shared" si="16"/>
        <v>1.6328867152380206E-2</v>
      </c>
      <c r="U43" s="59">
        <f t="shared" si="16"/>
        <v>0.88812756539292048</v>
      </c>
      <c r="V43" s="59">
        <f t="shared" si="16"/>
        <v>9.8121637624099964E-2</v>
      </c>
    </row>
    <row r="44" spans="2:24">
      <c r="B44"/>
      <c r="C44" s="43"/>
      <c r="D44" s="39" t="str">
        <f t="shared" si="2"/>
        <v>CH3COO</v>
      </c>
      <c r="E44" s="59">
        <f t="shared" si="3"/>
        <v>2.2005669737524269</v>
      </c>
      <c r="F44" s="59">
        <f t="shared" ref="F44:V44" si="17">EXP(-F23/($B$6+273.15))</f>
        <v>2.2005669737524269</v>
      </c>
      <c r="G44" s="59">
        <f t="shared" si="17"/>
        <v>2.2005669737524269</v>
      </c>
      <c r="H44" s="59">
        <f t="shared" si="17"/>
        <v>0.75362293160486393</v>
      </c>
      <c r="I44" s="59">
        <f t="shared" si="17"/>
        <v>1.5202487430529179</v>
      </c>
      <c r="J44" s="59">
        <f t="shared" si="17"/>
        <v>1.5202487430529179</v>
      </c>
      <c r="K44" s="59">
        <f t="shared" si="17"/>
        <v>0.64082940769977237</v>
      </c>
      <c r="L44" s="59">
        <f t="shared" si="17"/>
        <v>1.4571664736196233</v>
      </c>
      <c r="M44" s="59">
        <f t="shared" si="17"/>
        <v>0.38641478734573775</v>
      </c>
      <c r="N44" s="59">
        <f t="shared" si="17"/>
        <v>2.2958318328178686</v>
      </c>
      <c r="O44" s="59">
        <f t="shared" si="17"/>
        <v>0.86503987720942876</v>
      </c>
      <c r="P44" s="59">
        <f t="shared" si="17"/>
        <v>6.8172002045585128E-2</v>
      </c>
      <c r="Q44" s="59">
        <f t="shared" si="17"/>
        <v>3.0457051865010444E-2</v>
      </c>
      <c r="R44" s="59">
        <f t="shared" si="17"/>
        <v>1</v>
      </c>
      <c r="S44" s="59">
        <f t="shared" si="17"/>
        <v>1.7873899676060361</v>
      </c>
      <c r="T44" s="59">
        <f t="shared" si="17"/>
        <v>0.76465866359368451</v>
      </c>
      <c r="U44" s="59">
        <f t="shared" si="17"/>
        <v>1.6764749745540402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2.0839850012723638E-2</v>
      </c>
      <c r="F45" s="59">
        <f t="shared" ref="F45:V45" si="18">EXP(-F24/($B$6+273.15))</f>
        <v>2.0839850012723638E-2</v>
      </c>
      <c r="G45" s="59">
        <f t="shared" si="18"/>
        <v>2.0839850012723638E-2</v>
      </c>
      <c r="H45" s="59">
        <f t="shared" si="18"/>
        <v>0.87946063836026978</v>
      </c>
      <c r="I45" s="59">
        <f t="shared" si="18"/>
        <v>0.85056212100163309</v>
      </c>
      <c r="J45" s="59">
        <f t="shared" si="18"/>
        <v>0.85056212100163309</v>
      </c>
      <c r="K45" s="59">
        <f t="shared" si="18"/>
        <v>0.71333113918875957</v>
      </c>
      <c r="L45" s="59">
        <f t="shared" si="18"/>
        <v>1.7115350563055935</v>
      </c>
      <c r="M45" s="59">
        <f t="shared" si="18"/>
        <v>0.59195086276789954</v>
      </c>
      <c r="N45" s="59">
        <f t="shared" si="18"/>
        <v>1</v>
      </c>
      <c r="O45" s="59">
        <f t="shared" si="18"/>
        <v>0.87891906522734287</v>
      </c>
      <c r="P45" s="59">
        <f t="shared" si="18"/>
        <v>1</v>
      </c>
      <c r="Q45" s="59">
        <f t="shared" si="18"/>
        <v>3.160378915804727E-2</v>
      </c>
      <c r="R45" s="59">
        <f t="shared" si="18"/>
        <v>0.32089964646232694</v>
      </c>
      <c r="S45" s="59">
        <f t="shared" si="18"/>
        <v>1</v>
      </c>
      <c r="T45" s="59">
        <f t="shared" si="18"/>
        <v>0.71210186377331786</v>
      </c>
      <c r="U45" s="59">
        <f t="shared" si="18"/>
        <v>1.4625620480894097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0.93356507274683387</v>
      </c>
      <c r="F46" s="59">
        <f t="shared" ref="F46:V46" si="19">EXP(-F25/($B$6+273.15))</f>
        <v>0.93356507274683387</v>
      </c>
      <c r="G46" s="59">
        <f t="shared" si="19"/>
        <v>0.93356507274683387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0.19226415291646773</v>
      </c>
      <c r="L46" s="59">
        <f t="shared" si="19"/>
        <v>2.6899649150453739</v>
      </c>
      <c r="M46" s="59">
        <f t="shared" si="19"/>
        <v>0.16132741753108709</v>
      </c>
      <c r="N46" s="59">
        <f t="shared" si="19"/>
        <v>1</v>
      </c>
      <c r="O46" s="59">
        <f t="shared" si="19"/>
        <v>0.2575197496595803</v>
      </c>
      <c r="P46" s="59">
        <f t="shared" si="19"/>
        <v>1</v>
      </c>
      <c r="Q46" s="59">
        <f t="shared" si="19"/>
        <v>0.34011303187554326</v>
      </c>
      <c r="R46" s="59">
        <f t="shared" si="19"/>
        <v>1.3874407798845012</v>
      </c>
      <c r="S46" s="59">
        <f t="shared" si="19"/>
        <v>1.6276313287422937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0.94903465207294069</v>
      </c>
      <c r="F47" s="59">
        <f t="shared" si="20"/>
        <v>0.94903465207294069</v>
      </c>
      <c r="G47" s="59">
        <f t="shared" si="20"/>
        <v>0.94903465207294069</v>
      </c>
      <c r="H47" s="59">
        <f t="shared" si="20"/>
        <v>0.49122462862081412</v>
      </c>
      <c r="I47" s="59">
        <f t="shared" si="20"/>
        <v>0.92052248885225929</v>
      </c>
      <c r="J47" s="59">
        <f t="shared" si="20"/>
        <v>0.92052248885225929</v>
      </c>
      <c r="K47" s="59">
        <f t="shared" si="20"/>
        <v>0.35667768265868299</v>
      </c>
      <c r="L47" s="59">
        <f t="shared" si="20"/>
        <v>3.1502073512249531</v>
      </c>
      <c r="M47" s="59">
        <f t="shared" si="20"/>
        <v>0.14164708151673475</v>
      </c>
      <c r="N47" s="59">
        <f t="shared" si="20"/>
        <v>1</v>
      </c>
      <c r="O47" s="59">
        <f t="shared" si="20"/>
        <v>7.6483925629142675</v>
      </c>
      <c r="P47" s="59">
        <f t="shared" si="20"/>
        <v>1</v>
      </c>
      <c r="Q47" s="59">
        <f t="shared" si="20"/>
        <v>0.40145796024904729</v>
      </c>
      <c r="R47" s="59">
        <f t="shared" si="20"/>
        <v>9.1465734914026431</v>
      </c>
      <c r="S47" s="59">
        <f t="shared" si="20"/>
        <v>1.0529237068370758</v>
      </c>
      <c r="T47" s="59">
        <f t="shared" si="20"/>
        <v>1</v>
      </c>
      <c r="U47" s="59">
        <f>EXP(-U26/($B$6+273.15))</f>
        <v>1</v>
      </c>
      <c r="V47" s="59">
        <f>EXP(-V26/($B$6+273.15))</f>
        <v>1.2044575759745872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0.64845351251781025</v>
      </c>
      <c r="F48" s="59">
        <f t="shared" si="21"/>
        <v>0.64845351251781025</v>
      </c>
      <c r="G48" s="59">
        <f t="shared" si="21"/>
        <v>0.64845351251781025</v>
      </c>
      <c r="H48" s="59">
        <f t="shared" si="21"/>
        <v>1.7149121129124765</v>
      </c>
      <c r="I48" s="59">
        <f t="shared" si="21"/>
        <v>1.0386997527736295</v>
      </c>
      <c r="J48" s="59">
        <f t="shared" si="21"/>
        <v>1.0386997527736295</v>
      </c>
      <c r="K48" s="59">
        <f t="shared" si="21"/>
        <v>0.27159664651947613</v>
      </c>
      <c r="L48" s="59">
        <f t="shared" si="21"/>
        <v>1</v>
      </c>
      <c r="M48" s="59">
        <f t="shared" si="21"/>
        <v>1.8055381504365402</v>
      </c>
      <c r="N48" s="59">
        <f t="shared" si="21"/>
        <v>8.3290439328078794</v>
      </c>
      <c r="O48" s="59">
        <f t="shared" si="21"/>
        <v>0.12083342099621021</v>
      </c>
      <c r="P48" s="59">
        <f t="shared" si="21"/>
        <v>1</v>
      </c>
      <c r="Q48" s="59">
        <f t="shared" si="21"/>
        <v>0.18657062538598729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1.7039609737916694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3:C3"/>
  <sheetViews>
    <sheetView workbookViewId="0">
      <selection activeCell="C3" sqref="C3"/>
    </sheetView>
  </sheetViews>
  <sheetFormatPr baseColWidth="10" defaultColWidth="8.83203125" defaultRowHeight="13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344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J26"/>
  <sheetViews>
    <sheetView workbookViewId="0">
      <selection activeCell="A9" sqref="A9"/>
    </sheetView>
  </sheetViews>
  <sheetFormatPr baseColWidth="10" defaultColWidth="8.83203125" defaultRowHeight="13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186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187</v>
      </c>
      <c r="B2" s="5"/>
      <c r="C2" s="5"/>
      <c r="D2" s="5"/>
      <c r="E2" s="5"/>
      <c r="F2" s="5"/>
      <c r="G2" s="5"/>
      <c r="H2" s="5"/>
      <c r="I2" s="5"/>
    </row>
    <row r="3" spans="1:10" s="44" customFormat="1" ht="15">
      <c r="A3" s="4" t="s">
        <v>28</v>
      </c>
      <c r="B3" s="45" t="s">
        <v>188</v>
      </c>
      <c r="C3" s="45" t="s">
        <v>189</v>
      </c>
      <c r="D3" s="45" t="s">
        <v>190</v>
      </c>
      <c r="E3" s="45" t="s">
        <v>191</v>
      </c>
      <c r="F3" s="45" t="s">
        <v>192</v>
      </c>
      <c r="G3" s="4"/>
      <c r="H3" s="5" t="s">
        <v>193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224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/>
  <dimension ref="A1:I32"/>
  <sheetViews>
    <sheetView showGridLines="0" workbookViewId="0">
      <selection activeCell="C1" sqref="C1"/>
    </sheetView>
  </sheetViews>
  <sheetFormatPr baseColWidth="10" defaultColWidth="9.6640625" defaultRowHeight="13"/>
  <cols>
    <col min="1" max="2" width="9.6640625" style="4"/>
    <col min="3" max="16384" width="9.6640625" style="5"/>
  </cols>
  <sheetData>
    <row r="1" spans="1:9">
      <c r="A1" s="3" t="s">
        <v>25</v>
      </c>
    </row>
    <row r="3" spans="1:9" ht="16">
      <c r="B3" s="3" t="s">
        <v>26</v>
      </c>
    </row>
    <row r="4" spans="1:9">
      <c r="B4" s="6" t="s">
        <v>251</v>
      </c>
      <c r="C4" s="7"/>
      <c r="D4" s="8" t="s">
        <v>252</v>
      </c>
      <c r="E4" s="9" t="s">
        <v>253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R85"/>
  <sheetViews>
    <sheetView showGridLines="0" workbookViewId="0">
      <selection activeCell="J6" sqref="J6"/>
    </sheetView>
  </sheetViews>
  <sheetFormatPr baseColWidth="10" defaultColWidth="9.1640625" defaultRowHeight="13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256</v>
      </c>
    </row>
    <row r="2" spans="1:17" s="155" customFormat="1">
      <c r="A2" s="155" t="s">
        <v>258</v>
      </c>
    </row>
    <row r="3" spans="1:17" s="155" customFormat="1">
      <c r="A3" s="155" t="s">
        <v>259</v>
      </c>
    </row>
    <row r="4" spans="1:17" s="155" customFormat="1">
      <c r="A4" s="155" t="s">
        <v>260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194</v>
      </c>
    </row>
    <row r="9" spans="1:17" s="155" customFormat="1" ht="15">
      <c r="A9" s="163" t="s">
        <v>195</v>
      </c>
      <c r="B9" s="173"/>
      <c r="C9" s="173"/>
      <c r="D9" s="174" t="s">
        <v>152</v>
      </c>
      <c r="E9" s="174" t="s">
        <v>128</v>
      </c>
      <c r="F9" s="174" t="s">
        <v>129</v>
      </c>
      <c r="G9" s="173"/>
      <c r="H9" s="173" t="s">
        <v>197</v>
      </c>
      <c r="I9" s="173"/>
      <c r="J9" s="175" t="s">
        <v>198</v>
      </c>
      <c r="K9" s="176"/>
    </row>
    <row r="10" spans="1:17" s="155" customFormat="1">
      <c r="A10" s="164">
        <v>1</v>
      </c>
      <c r="B10" s="165" t="s">
        <v>168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151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257</v>
      </c>
    </row>
    <row r="13" spans="1:17">
      <c r="A13" s="161" t="s">
        <v>261</v>
      </c>
      <c r="H13" s="156" t="s">
        <v>209</v>
      </c>
      <c r="I13" s="161">
        <v>760</v>
      </c>
      <c r="J13" s="156" t="s">
        <v>210</v>
      </c>
    </row>
    <row r="14" spans="1:17" ht="15">
      <c r="A14" s="168" t="s">
        <v>52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 ht="15">
      <c r="A15" s="168" t="s">
        <v>199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196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203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5">
      <c r="A19" s="170" t="s">
        <v>204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220</v>
      </c>
    </row>
    <row r="23" spans="1:16" ht="15">
      <c r="A23" s="168" t="s">
        <v>52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5">
      <c r="A24" s="170" t="s">
        <v>206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5">
      <c r="A25" s="170" t="s">
        <v>207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 ht="16">
      <c r="A26" s="168" t="s">
        <v>205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 ht="16">
      <c r="A27" s="168" t="s">
        <v>208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 ht="15">
      <c r="A28" s="168" t="s">
        <v>254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 ht="15">
      <c r="A29" s="168" t="s">
        <v>255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211</v>
      </c>
    </row>
    <row r="31" spans="1:16" ht="16">
      <c r="A31" s="180" t="s">
        <v>218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213</v>
      </c>
      <c r="I32" s="155" t="s">
        <v>212</v>
      </c>
      <c r="K32" s="155"/>
      <c r="L32" s="155"/>
      <c r="M32" s="162" t="s">
        <v>213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244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214</v>
      </c>
    </row>
    <row r="35" spans="1:18">
      <c r="A35" s="168" t="s">
        <v>20</v>
      </c>
      <c r="B35" s="170" t="s">
        <v>202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215</v>
      </c>
    </row>
    <row r="36" spans="1:18">
      <c r="A36" s="170" t="s">
        <v>200</v>
      </c>
      <c r="B36" s="168">
        <f>G14*G24-M14*M24</f>
        <v>2.5356984235358482E-4</v>
      </c>
      <c r="C36" s="168">
        <v>0.28420941450762771</v>
      </c>
      <c r="D36" s="155"/>
      <c r="R36" s="156" t="s">
        <v>216</v>
      </c>
    </row>
    <row r="37" spans="1:18">
      <c r="A37" s="170" t="s">
        <v>201</v>
      </c>
      <c r="B37" s="168">
        <f>G15*G25-M15*M25</f>
        <v>0</v>
      </c>
      <c r="C37" s="168">
        <v>0.97303263263832951</v>
      </c>
      <c r="D37" s="155"/>
      <c r="R37" s="156" t="s">
        <v>217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219</v>
      </c>
      <c r="I39" s="161">
        <v>-3.3096609259584214E-2</v>
      </c>
    </row>
    <row r="40" spans="1:18" ht="15">
      <c r="A40" s="168" t="s">
        <v>52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5">
      <c r="A41" s="170" t="s">
        <v>206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5">
      <c r="A42" s="170" t="s">
        <v>207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 ht="16">
      <c r="A43" s="168" t="s">
        <v>205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 ht="16">
      <c r="A44" s="168" t="s">
        <v>208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 ht="15">
      <c r="A45" s="168" t="s">
        <v>254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 ht="15">
      <c r="A46" s="168" t="s">
        <v>255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211</v>
      </c>
    </row>
    <row r="48" spans="1:18" ht="16">
      <c r="A48" s="180" t="s">
        <v>218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>
      <c r="A49" s="157"/>
      <c r="B49" s="155"/>
      <c r="C49" s="155"/>
      <c r="D49" s="155"/>
    </row>
    <row r="50" spans="1:16">
      <c r="A50" s="157"/>
      <c r="B50" s="155"/>
      <c r="C50" s="155"/>
      <c r="D50" s="155"/>
    </row>
    <row r="51" spans="1:16">
      <c r="A51" s="157"/>
      <c r="B51" s="155"/>
      <c r="C51" s="155"/>
      <c r="D51" s="155"/>
    </row>
    <row r="52" spans="1:16" ht="15">
      <c r="A52" s="156" t="s">
        <v>223</v>
      </c>
    </row>
    <row r="53" spans="1:16">
      <c r="A53" s="156" t="s">
        <v>307</v>
      </c>
    </row>
    <row r="54" spans="1:16" ht="16">
      <c r="A54" s="171" t="s">
        <v>205</v>
      </c>
      <c r="B54" s="171">
        <f>10^($D$10-$E$10/(58.3+$F$10))</f>
        <v>591.28789496549302</v>
      </c>
      <c r="D54" s="172" t="s">
        <v>206</v>
      </c>
      <c r="E54" s="156">
        <f>$I$13/B54</f>
        <v>1.2853298815534737</v>
      </c>
      <c r="G54" s="156" t="s">
        <v>221</v>
      </c>
      <c r="H54" s="156">
        <f>LN(E54)*(1+0.386*LN(E55)/0.614/LN(E54))^2</f>
        <v>1.9847477282664872</v>
      </c>
    </row>
    <row r="55" spans="1:16" ht="16">
      <c r="A55" s="171" t="s">
        <v>208</v>
      </c>
      <c r="B55" s="171">
        <f>10^($D$11-$E$11/(58.3+$F$11))</f>
        <v>368.65078598834526</v>
      </c>
      <c r="D55" s="182" t="s">
        <v>207</v>
      </c>
      <c r="E55" s="156">
        <f>$I$13/B55</f>
        <v>2.0615716251966085</v>
      </c>
      <c r="G55" s="156" t="s">
        <v>222</v>
      </c>
      <c r="H55" s="156">
        <f>LN(E55)*(1+0.614*LN(E54)/0.386/LN(E55))^2</f>
        <v>1.7424010368337413</v>
      </c>
    </row>
    <row r="56" spans="1:16" ht="15">
      <c r="A56" s="168" t="s">
        <v>52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5">
      <c r="A57" s="170" t="s">
        <v>206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5">
      <c r="A58" s="170" t="s">
        <v>207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 ht="16">
      <c r="A59" s="168" t="s">
        <v>205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 ht="16">
      <c r="A60" s="168" t="s">
        <v>208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 ht="15">
      <c r="A61" s="168" t="s">
        <v>254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 ht="15">
      <c r="A62" s="168" t="s">
        <v>255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211</v>
      </c>
    </row>
    <row r="64" spans="1:16" ht="16">
      <c r="A64" s="180" t="s">
        <v>218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>
      <c r="A68" s="155"/>
      <c r="B68" s="159"/>
      <c r="C68" s="158"/>
      <c r="D68" s="158"/>
      <c r="E68" s="158"/>
      <c r="F68" s="158"/>
    </row>
    <row r="69" spans="1:16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28"/>
  <sheetViews>
    <sheetView workbookViewId="0">
      <selection activeCell="A2" sqref="A2"/>
    </sheetView>
  </sheetViews>
  <sheetFormatPr baseColWidth="10" defaultColWidth="8" defaultRowHeight="13"/>
  <cols>
    <col min="1" max="16384" width="8" style="263"/>
  </cols>
  <sheetData>
    <row r="1" spans="2:7">
      <c r="B1" s="263" t="s">
        <v>332</v>
      </c>
      <c r="F1" s="263" t="s">
        <v>331</v>
      </c>
    </row>
    <row r="2" spans="2:7" ht="15">
      <c r="C2" s="264" t="s">
        <v>336</v>
      </c>
      <c r="D2" s="279">
        <v>200</v>
      </c>
      <c r="F2" s="264" t="s">
        <v>339</v>
      </c>
      <c r="G2" s="263">
        <f>D2/D5</f>
        <v>0.67080328693610602</v>
      </c>
    </row>
    <row r="3" spans="2:7" ht="15">
      <c r="C3" s="264" t="s">
        <v>337</v>
      </c>
      <c r="D3" s="279">
        <v>200</v>
      </c>
      <c r="F3" s="264" t="s">
        <v>340</v>
      </c>
      <c r="G3" s="263">
        <f>D3/D5</f>
        <v>0.67080328693610602</v>
      </c>
    </row>
    <row r="4" spans="2:7" ht="15">
      <c r="C4" s="264" t="s">
        <v>338</v>
      </c>
      <c r="D4" s="279">
        <v>0.2</v>
      </c>
      <c r="F4" s="269" t="s">
        <v>341</v>
      </c>
      <c r="G4" s="263">
        <f>EXP(-D4*G2)</f>
        <v>0.87444956653499373</v>
      </c>
    </row>
    <row r="5" spans="2:7" ht="15">
      <c r="C5" s="280" t="s">
        <v>333</v>
      </c>
      <c r="D5" s="279">
        <v>298.14999999999998</v>
      </c>
      <c r="F5" s="269" t="s">
        <v>342</v>
      </c>
      <c r="G5" s="263">
        <f>EXP(-D4*G3)</f>
        <v>0.87444956653499373</v>
      </c>
    </row>
    <row r="7" spans="2:7">
      <c r="B7" s="263" t="s">
        <v>28</v>
      </c>
      <c r="C7" s="280" t="s">
        <v>29</v>
      </c>
      <c r="D7" s="264" t="s">
        <v>334</v>
      </c>
      <c r="E7" s="264" t="s">
        <v>335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38"/>
  <sheetViews>
    <sheetView workbookViewId="0"/>
  </sheetViews>
  <sheetFormatPr baseColWidth="10" defaultColWidth="8" defaultRowHeight="13"/>
  <cols>
    <col min="1" max="16384" width="8" style="263"/>
  </cols>
  <sheetData>
    <row r="1" spans="2:14">
      <c r="B1" s="263" t="s">
        <v>312</v>
      </c>
    </row>
    <row r="2" spans="2:14">
      <c r="B2" s="263" t="s">
        <v>313</v>
      </c>
    </row>
    <row r="3" spans="2:14" ht="15">
      <c r="B3" s="264" t="s">
        <v>343</v>
      </c>
    </row>
    <row r="5" spans="2:14">
      <c r="B5" s="265" t="s">
        <v>38</v>
      </c>
      <c r="C5" s="266">
        <v>298.14999999999998</v>
      </c>
    </row>
    <row r="6" spans="2:14">
      <c r="B6" s="265" t="s">
        <v>80</v>
      </c>
      <c r="C6" s="266" t="s">
        <v>314</v>
      </c>
      <c r="D6" s="266" t="s">
        <v>132</v>
      </c>
      <c r="E6" s="266" t="s">
        <v>315</v>
      </c>
      <c r="F6" s="266" t="s">
        <v>169</v>
      </c>
      <c r="G6" s="266" t="s">
        <v>316</v>
      </c>
    </row>
    <row r="7" spans="2:14">
      <c r="B7" s="265" t="s">
        <v>85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317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331</v>
      </c>
    </row>
    <row r="10" spans="2:14">
      <c r="B10" s="263" t="s">
        <v>318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319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320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321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>
      <c r="B24" s="264" t="s">
        <v>330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322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323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324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325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326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327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328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329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P31"/>
  <sheetViews>
    <sheetView showGridLines="0" zoomScale="150" zoomScaleNormal="150" zoomScalePageLayoutView="150" workbookViewId="0">
      <selection activeCell="A2" sqref="A2"/>
    </sheetView>
  </sheetViews>
  <sheetFormatPr baseColWidth="10" defaultColWidth="9.1640625" defaultRowHeight="13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250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50</v>
      </c>
      <c r="B6" s="27">
        <v>1.43</v>
      </c>
      <c r="C6" s="27">
        <v>1.43</v>
      </c>
      <c r="D6" s="27">
        <f>_q1</f>
        <v>1.43</v>
      </c>
      <c r="E6" s="24">
        <f>5*(_r1-_q1)-(_r1-1)</f>
        <v>-0.42999999999999994</v>
      </c>
      <c r="F6" s="24">
        <f>_l1-_r1*_l2/_r2</f>
        <v>-1.2189655172413794</v>
      </c>
      <c r="H6" s="27">
        <v>-32.78</v>
      </c>
      <c r="I6" s="27">
        <v>529.57000000000005</v>
      </c>
    </row>
    <row r="7" spans="1:16">
      <c r="A7" s="26" t="s">
        <v>51</v>
      </c>
      <c r="B7" s="27">
        <v>3.19</v>
      </c>
      <c r="C7" s="27">
        <v>2.4</v>
      </c>
      <c r="D7" s="27">
        <f>_q2</f>
        <v>2.4</v>
      </c>
      <c r="E7" s="24">
        <f>5*(_r2-_q2)-(_r2-1)</f>
        <v>1.7600000000000002</v>
      </c>
      <c r="F7" s="24">
        <f>_l2-_r2*_l1/_r1</f>
        <v>2.7192307692307693</v>
      </c>
    </row>
    <row r="8" spans="1:16">
      <c r="B8" s="23" t="s">
        <v>27</v>
      </c>
      <c r="C8" s="28"/>
      <c r="D8" s="17">
        <v>0.05</v>
      </c>
    </row>
    <row r="10" spans="1:16" ht="15">
      <c r="A10" s="4" t="s">
        <v>52</v>
      </c>
      <c r="B10" s="29" t="s">
        <v>53</v>
      </c>
      <c r="C10" s="29" t="s">
        <v>54</v>
      </c>
      <c r="D10" s="4" t="s">
        <v>38</v>
      </c>
      <c r="E10" s="4" t="s">
        <v>55</v>
      </c>
      <c r="F10" s="4" t="s">
        <v>56</v>
      </c>
      <c r="G10" s="4" t="s">
        <v>57</v>
      </c>
      <c r="H10" s="4" t="s">
        <v>58</v>
      </c>
      <c r="I10" s="4" t="s">
        <v>59</v>
      </c>
      <c r="J10" s="4" t="s">
        <v>60</v>
      </c>
      <c r="K10" s="4" t="s">
        <v>61</v>
      </c>
      <c r="L10" s="4" t="s">
        <v>62</v>
      </c>
      <c r="M10" s="4" t="s">
        <v>63</v>
      </c>
      <c r="N10" s="4" t="s">
        <v>64</v>
      </c>
      <c r="O10" s="4" t="s">
        <v>65</v>
      </c>
      <c r="P10" s="4" t="s">
        <v>66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1.0944650777257738</v>
      </c>
      <c r="F11" s="5">
        <f t="shared" ref="F11:F31" si="2">EXP(-A21../_T)</f>
        <v>0.23263887199560943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1.9634741768082722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7.1240342763596836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1.0944650777257738</v>
      </c>
      <c r="F12" s="5">
        <f t="shared" si="2"/>
        <v>0.23263887199560943</v>
      </c>
      <c r="G12" s="5">
        <f t="shared" si="3"/>
        <v>3.0406123750797365E-2</v>
      </c>
      <c r="H12" s="5">
        <f t="shared" si="4"/>
        <v>0.96959387624920268</v>
      </c>
      <c r="I12" s="5">
        <f t="shared" si="5"/>
        <v>3.0406123750797365E-2</v>
      </c>
      <c r="J12" s="5">
        <f t="shared" si="6"/>
        <v>0.96959387624920268</v>
      </c>
      <c r="K12" s="5">
        <f t="shared" si="7"/>
        <v>2.3049645390070921E-2</v>
      </c>
      <c r="L12" s="5">
        <f t="shared" si="8"/>
        <v>0.97695035460992907</v>
      </c>
      <c r="M12" s="5">
        <f t="shared" ref="M12:M27" si="13">LN(_phi1/_x1)+5*_q1*LN(theta1/_phi1)+_phi2*(_lf1)-_qp1*LN(thetap1+thetap2*_tau21)+thetap2*_qp1*(_tau21/(thetap1+thetap2*_tau21)-_tau12/(thetap2+thetap1*_tau12))</f>
        <v>1.7108931200150137</v>
      </c>
      <c r="N12" s="5">
        <f t="shared" si="9"/>
        <v>6.3816833738385955E-3</v>
      </c>
      <c r="O12" s="5">
        <f t="shared" si="10"/>
        <v>5.5339017095635352</v>
      </c>
      <c r="P12" s="5">
        <f t="shared" si="10"/>
        <v>1.0064020897009918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1.0944650777257738</v>
      </c>
      <c r="F13" s="5">
        <f t="shared" si="2"/>
        <v>0.23263887199560943</v>
      </c>
      <c r="G13" s="5">
        <f t="shared" si="3"/>
        <v>6.2092922275293096E-2</v>
      </c>
      <c r="H13" s="5">
        <f t="shared" si="4"/>
        <v>0.93790707772470694</v>
      </c>
      <c r="I13" s="5">
        <f t="shared" si="5"/>
        <v>6.2092922275293096E-2</v>
      </c>
      <c r="J13" s="5">
        <f t="shared" si="6"/>
        <v>0.93790707772470694</v>
      </c>
      <c r="K13" s="5">
        <f t="shared" si="7"/>
        <v>4.7445255474452552E-2</v>
      </c>
      <c r="L13" s="5">
        <f t="shared" si="8"/>
        <v>0.95255474452554756</v>
      </c>
      <c r="M13" s="5">
        <f t="shared" si="13"/>
        <v>1.4897621530924539</v>
      </c>
      <c r="N13" s="5">
        <f t="shared" si="9"/>
        <v>2.4230403685123695E-2</v>
      </c>
      <c r="O13" s="5">
        <f t="shared" si="10"/>
        <v>4.4360402950518338</v>
      </c>
      <c r="P13" s="5">
        <f t="shared" si="10"/>
        <v>1.0245263453442535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1.0944650777257738</v>
      </c>
      <c r="F14" s="5">
        <f t="shared" si="2"/>
        <v>0.23263887199560943</v>
      </c>
      <c r="G14" s="5">
        <f t="shared" si="3"/>
        <v>9.5143047238855624E-2</v>
      </c>
      <c r="H14" s="5">
        <f t="shared" si="4"/>
        <v>0.90485695276114431</v>
      </c>
      <c r="I14" s="5">
        <f t="shared" si="5"/>
        <v>9.5143047238855624E-2</v>
      </c>
      <c r="J14" s="5">
        <f t="shared" si="6"/>
        <v>0.90485695276114431</v>
      </c>
      <c r="K14" s="5">
        <f t="shared" si="7"/>
        <v>7.3308270676691739E-2</v>
      </c>
      <c r="L14" s="5">
        <f t="shared" si="8"/>
        <v>0.92669172932330823</v>
      </c>
      <c r="M14" s="5">
        <f t="shared" si="13"/>
        <v>1.2948070243696219</v>
      </c>
      <c r="N14" s="5">
        <f t="shared" si="9"/>
        <v>5.2011370546609058E-2</v>
      </c>
      <c r="O14" s="5">
        <f t="shared" si="10"/>
        <v>3.6502914888680853</v>
      </c>
      <c r="P14" s="5">
        <f t="shared" si="10"/>
        <v>1.0533877200394373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1.0944650777257738</v>
      </c>
      <c r="F15" s="5">
        <f t="shared" si="2"/>
        <v>0.23263887199560943</v>
      </c>
      <c r="G15" s="5">
        <f t="shared" si="3"/>
        <v>0.12964641885766093</v>
      </c>
      <c r="H15" s="5">
        <f t="shared" si="4"/>
        <v>0.87035358114233907</v>
      </c>
      <c r="I15" s="5">
        <f t="shared" si="5"/>
        <v>0.12964641885766093</v>
      </c>
      <c r="J15" s="5">
        <f t="shared" si="6"/>
        <v>0.87035358114233907</v>
      </c>
      <c r="K15" s="5">
        <f t="shared" si="7"/>
        <v>0.1007751937984496</v>
      </c>
      <c r="L15" s="5">
        <f t="shared" si="8"/>
        <v>0.89922480620155043</v>
      </c>
      <c r="M15" s="5">
        <f t="shared" si="13"/>
        <v>1.1219761088353655</v>
      </c>
      <c r="N15" s="5">
        <f t="shared" si="9"/>
        <v>8.8611690192485243E-2</v>
      </c>
      <c r="O15" s="5">
        <f t="shared" si="10"/>
        <v>3.0709166768441776</v>
      </c>
      <c r="P15" s="5">
        <f t="shared" si="10"/>
        <v>1.092656284786222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1.0944650777257738</v>
      </c>
      <c r="F16" s="5">
        <f t="shared" si="2"/>
        <v>0.23263887199560943</v>
      </c>
      <c r="G16" s="5">
        <f t="shared" si="3"/>
        <v>0.16570104287369641</v>
      </c>
      <c r="H16" s="5">
        <f t="shared" si="4"/>
        <v>0.83429895712630364</v>
      </c>
      <c r="I16" s="5">
        <f t="shared" si="5"/>
        <v>0.16570104287369641</v>
      </c>
      <c r="J16" s="5">
        <f t="shared" si="6"/>
        <v>0.83429895712630364</v>
      </c>
      <c r="K16" s="5">
        <f t="shared" si="7"/>
        <v>0.13</v>
      </c>
      <c r="L16" s="5">
        <f t="shared" si="8"/>
        <v>0.87</v>
      </c>
      <c r="M16" s="5">
        <f t="shared" si="13"/>
        <v>0.96810865514860478</v>
      </c>
      <c r="N16" s="5">
        <f t="shared" si="9"/>
        <v>0.13322959196444722</v>
      </c>
      <c r="O16" s="5">
        <f t="shared" si="10"/>
        <v>2.6329599119176392</v>
      </c>
      <c r="P16" s="5">
        <f t="shared" si="10"/>
        <v>1.1425122798596143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1.0944650777257738</v>
      </c>
      <c r="F17" s="5">
        <f t="shared" si="2"/>
        <v>0.23263887199560943</v>
      </c>
      <c r="G17" s="5">
        <f t="shared" si="3"/>
        <v>0.20341394025604551</v>
      </c>
      <c r="H17" s="5">
        <f t="shared" si="4"/>
        <v>0.79658605974395447</v>
      </c>
      <c r="I17" s="5">
        <f t="shared" si="5"/>
        <v>0.20341394025604551</v>
      </c>
      <c r="J17" s="5">
        <f t="shared" si="6"/>
        <v>0.79658605974395447</v>
      </c>
      <c r="K17" s="5">
        <f t="shared" si="7"/>
        <v>0.16115702479338845</v>
      </c>
      <c r="L17" s="5">
        <f t="shared" si="8"/>
        <v>0.83884297520661155</v>
      </c>
      <c r="M17" s="5">
        <f t="shared" si="13"/>
        <v>0.83070741455138364</v>
      </c>
      <c r="N17" s="5">
        <f t="shared" si="9"/>
        <v>0.18530043271313765</v>
      </c>
      <c r="O17" s="5">
        <f t="shared" si="10"/>
        <v>2.2949416412762225</v>
      </c>
      <c r="P17" s="5">
        <f t="shared" si="10"/>
        <v>1.2035799806147356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1.0944650777257738</v>
      </c>
      <c r="F18" s="5">
        <f t="shared" si="2"/>
        <v>0.23263887199560943</v>
      </c>
      <c r="G18" s="5">
        <f t="shared" si="3"/>
        <v>0.24290220820189271</v>
      </c>
      <c r="H18" s="5">
        <f t="shared" si="4"/>
        <v>0.75709779179810721</v>
      </c>
      <c r="I18" s="5">
        <f t="shared" si="5"/>
        <v>0.24290220820189271</v>
      </c>
      <c r="J18" s="5">
        <f t="shared" si="6"/>
        <v>0.75709779179810721</v>
      </c>
      <c r="K18" s="5">
        <f t="shared" si="7"/>
        <v>0.19444444444444445</v>
      </c>
      <c r="L18" s="5">
        <f t="shared" si="8"/>
        <v>0.80555555555555569</v>
      </c>
      <c r="M18" s="5">
        <f t="shared" si="13"/>
        <v>0.70777936598416336</v>
      </c>
      <c r="N18" s="5">
        <f t="shared" si="9"/>
        <v>0.24444683302015377</v>
      </c>
      <c r="O18" s="5">
        <f t="shared" si="10"/>
        <v>2.0294795197843092</v>
      </c>
      <c r="P18" s="5">
        <f t="shared" si="10"/>
        <v>1.2769147707176773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1.0944650777257738</v>
      </c>
      <c r="F19" s="5">
        <f t="shared" si="2"/>
        <v>0.23263887199560943</v>
      </c>
      <c r="G19" s="5">
        <f t="shared" si="3"/>
        <v>0.28429423459244529</v>
      </c>
      <c r="H19" s="5">
        <f t="shared" si="4"/>
        <v>0.71570576540755471</v>
      </c>
      <c r="I19" s="5">
        <f t="shared" si="5"/>
        <v>0.28429423459244529</v>
      </c>
      <c r="J19" s="5">
        <f t="shared" si="6"/>
        <v>0.71570576540755471</v>
      </c>
      <c r="K19" s="5">
        <f t="shared" si="7"/>
        <v>0.23008849557522121</v>
      </c>
      <c r="L19" s="5">
        <f t="shared" si="8"/>
        <v>0.76991150442477874</v>
      </c>
      <c r="M19" s="5">
        <f t="shared" si="13"/>
        <v>0.59772209603934934</v>
      </c>
      <c r="N19" s="5">
        <f t="shared" si="9"/>
        <v>0.31044526264389755</v>
      </c>
      <c r="O19" s="5">
        <f t="shared" si="10"/>
        <v>1.8179729125182236</v>
      </c>
      <c r="P19" s="5">
        <f t="shared" si="10"/>
        <v>1.3640323315788432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1.0944650777257738</v>
      </c>
      <c r="F20" s="5">
        <f t="shared" si="2"/>
        <v>0.23263887199560943</v>
      </c>
      <c r="G20" s="5">
        <f t="shared" si="3"/>
        <v>0.32773109243697479</v>
      </c>
      <c r="H20" s="5">
        <f t="shared" si="4"/>
        <v>0.67226890756302526</v>
      </c>
      <c r="I20" s="5">
        <f t="shared" si="5"/>
        <v>0.32773109243697479</v>
      </c>
      <c r="J20" s="5">
        <f t="shared" si="6"/>
        <v>0.67226890756302526</v>
      </c>
      <c r="K20" s="5">
        <f t="shared" si="7"/>
        <v>0.26834862385321095</v>
      </c>
      <c r="L20" s="5">
        <f t="shared" si="8"/>
        <v>0.73165137614678899</v>
      </c>
      <c r="M20" s="5">
        <f t="shared" si="13"/>
        <v>0.49924158135247731</v>
      </c>
      <c r="N20" s="5">
        <f t="shared" si="9"/>
        <v>0.38320434287683136</v>
      </c>
      <c r="O20" s="5">
        <f t="shared" si="10"/>
        <v>1.6474713237952965</v>
      </c>
      <c r="P20" s="5">
        <f t="shared" si="10"/>
        <v>1.4669777658998462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1.0944650777257738</v>
      </c>
      <c r="F21" s="5">
        <f t="shared" si="2"/>
        <v>0.23263887199560943</v>
      </c>
      <c r="G21" s="5">
        <f t="shared" si="3"/>
        <v>0.37336814621409919</v>
      </c>
      <c r="H21" s="5">
        <f t="shared" si="4"/>
        <v>0.62663185378590081</v>
      </c>
      <c r="I21" s="5">
        <f t="shared" si="5"/>
        <v>0.37336814621409919</v>
      </c>
      <c r="J21" s="5">
        <f t="shared" si="6"/>
        <v>0.62663185378590081</v>
      </c>
      <c r="K21" s="5">
        <f t="shared" si="7"/>
        <v>0.30952380952380953</v>
      </c>
      <c r="L21" s="5">
        <f t="shared" si="8"/>
        <v>0.69047619047619058</v>
      </c>
      <c r="M21" s="5">
        <f t="shared" si="13"/>
        <v>0.41129212312285479</v>
      </c>
      <c r="N21" s="5">
        <f t="shared" si="9"/>
        <v>0.46275196685770459</v>
      </c>
      <c r="O21" s="5">
        <f t="shared" si="10"/>
        <v>1.5087660376349292</v>
      </c>
      <c r="P21" s="5">
        <f t="shared" si="10"/>
        <v>1.5884393079583994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1.0944650777257738</v>
      </c>
      <c r="F22" s="5">
        <f t="shared" si="2"/>
        <v>0.23263887199560943</v>
      </c>
      <c r="G22" s="5">
        <f t="shared" si="3"/>
        <v>0.42137690865255822</v>
      </c>
      <c r="H22" s="5">
        <f t="shared" si="4"/>
        <v>0.57862309134744183</v>
      </c>
      <c r="I22" s="5">
        <f t="shared" si="5"/>
        <v>0.42137690865255822</v>
      </c>
      <c r="J22" s="5">
        <f t="shared" si="6"/>
        <v>0.57862309134744183</v>
      </c>
      <c r="K22" s="5">
        <f t="shared" si="7"/>
        <v>0.35396039603960389</v>
      </c>
      <c r="L22" s="5">
        <f t="shared" si="8"/>
        <v>0.64603960396039617</v>
      </c>
      <c r="M22" s="5">
        <f t="shared" si="13"/>
        <v>0.33303233511244446</v>
      </c>
      <c r="N22" s="5">
        <f t="shared" si="9"/>
        <v>0.54922954363986154</v>
      </c>
      <c r="O22" s="5">
        <f t="shared" si="10"/>
        <v>1.3951924114439389</v>
      </c>
      <c r="P22" s="5">
        <f t="shared" si="10"/>
        <v>1.7319181363560578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1.0944650777257738</v>
      </c>
      <c r="F23" s="5">
        <f t="shared" si="2"/>
        <v>0.23263887199560943</v>
      </c>
      <c r="G23" s="5">
        <f t="shared" si="3"/>
        <v>0.47194719471947194</v>
      </c>
      <c r="H23" s="5">
        <f t="shared" si="4"/>
        <v>0.528052805280528</v>
      </c>
      <c r="I23" s="5">
        <f t="shared" si="5"/>
        <v>0.47194719471947194</v>
      </c>
      <c r="J23" s="5">
        <f t="shared" si="6"/>
        <v>0.528052805280528</v>
      </c>
      <c r="K23" s="5">
        <f t="shared" si="7"/>
        <v>0.40206185567010311</v>
      </c>
      <c r="L23" s="5">
        <f t="shared" si="8"/>
        <v>0.59793814432989689</v>
      </c>
      <c r="M23" s="5">
        <f t="shared" si="13"/>
        <v>0.2637931383644877</v>
      </c>
      <c r="N23" s="5">
        <f t="shared" si="9"/>
        <v>0.64289252873174552</v>
      </c>
      <c r="O23" s="5">
        <f t="shared" si="10"/>
        <v>1.3018588637908028</v>
      </c>
      <c r="P23" s="5">
        <f t="shared" si="10"/>
        <v>1.9019744460571204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1.0944650777257738</v>
      </c>
      <c r="F24" s="5">
        <f t="shared" si="2"/>
        <v>0.23263887199560943</v>
      </c>
      <c r="G24" s="5">
        <f t="shared" si="3"/>
        <v>0.52528962983893757</v>
      </c>
      <c r="H24" s="5">
        <f t="shared" si="4"/>
        <v>0.47471037016106249</v>
      </c>
      <c r="I24" s="5">
        <f t="shared" si="5"/>
        <v>0.52528962983893757</v>
      </c>
      <c r="J24" s="5">
        <f t="shared" si="6"/>
        <v>0.47471037016106249</v>
      </c>
      <c r="K24" s="5">
        <f t="shared" si="7"/>
        <v>0.45430107526881724</v>
      </c>
      <c r="L24" s="5">
        <f t="shared" si="8"/>
        <v>0.54569892473118276</v>
      </c>
      <c r="M24" s="5">
        <f t="shared" si="13"/>
        <v>0.20305510579186775</v>
      </c>
      <c r="N24" s="5">
        <f t="shared" si="9"/>
        <v>0.74411708726302783</v>
      </c>
      <c r="O24" s="5">
        <f t="shared" si="10"/>
        <v>1.2251399786960486</v>
      </c>
      <c r="P24" s="5">
        <f t="shared" si="10"/>
        <v>2.1045824517888274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1.0944650777257738</v>
      </c>
      <c r="F25" s="5">
        <f t="shared" si="2"/>
        <v>0.23263887199560943</v>
      </c>
      <c r="G25" s="5">
        <f t="shared" si="3"/>
        <v>0.58163858221963982</v>
      </c>
      <c r="H25" s="5">
        <f t="shared" si="4"/>
        <v>0.41836141778036018</v>
      </c>
      <c r="I25" s="5">
        <f t="shared" si="5"/>
        <v>0.58163858221963982</v>
      </c>
      <c r="J25" s="5">
        <f t="shared" si="6"/>
        <v>0.41836141778036018</v>
      </c>
      <c r="K25" s="5">
        <f t="shared" si="7"/>
        <v>0.51123595505617991</v>
      </c>
      <c r="L25" s="5">
        <f t="shared" si="8"/>
        <v>0.48876404494382014</v>
      </c>
      <c r="M25" s="5">
        <f t="shared" si="13"/>
        <v>0.15043349479376045</v>
      </c>
      <c r="N25" s="5">
        <f t="shared" si="9"/>
        <v>0.853413368741611</v>
      </c>
      <c r="O25" s="5">
        <f t="shared" si="10"/>
        <v>1.1623380010041247</v>
      </c>
      <c r="P25" s="5">
        <f t="shared" si="10"/>
        <v>2.3476465745912871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1.0944650777257738</v>
      </c>
      <c r="F26" s="5">
        <f t="shared" si="2"/>
        <v>0.23263887199560943</v>
      </c>
      <c r="G26" s="5">
        <f t="shared" si="3"/>
        <v>0.64125560538116599</v>
      </c>
      <c r="H26" s="5">
        <f t="shared" si="4"/>
        <v>0.35874439461883395</v>
      </c>
      <c r="I26" s="5">
        <f t="shared" si="5"/>
        <v>0.64125560538116599</v>
      </c>
      <c r="J26" s="5">
        <f t="shared" si="6"/>
        <v>0.35874439461883395</v>
      </c>
      <c r="K26" s="5">
        <f t="shared" si="7"/>
        <v>0.57352941176470595</v>
      </c>
      <c r="L26" s="5">
        <f t="shared" si="8"/>
        <v>0.42647058823529399</v>
      </c>
      <c r="M26" s="5">
        <f t="shared" si="13"/>
        <v>0.10567008036690112</v>
      </c>
      <c r="N26" s="5">
        <f t="shared" si="9"/>
        <v>0.97144655959607207</v>
      </c>
      <c r="O26" s="5">
        <f t="shared" si="10"/>
        <v>1.1114551251435267</v>
      </c>
      <c r="P26" s="5">
        <f t="shared" si="10"/>
        <v>2.6417631645521631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1.0944650777257738</v>
      </c>
      <c r="F27" s="5">
        <f t="shared" si="2"/>
        <v>0.23263887199560943</v>
      </c>
      <c r="G27" s="5">
        <f t="shared" si="3"/>
        <v>0.70443349753694606</v>
      </c>
      <c r="H27" s="5">
        <f t="shared" si="4"/>
        <v>0.29556650246305399</v>
      </c>
      <c r="I27" s="5">
        <f t="shared" si="5"/>
        <v>0.70443349753694606</v>
      </c>
      <c r="J27" s="5">
        <f t="shared" si="6"/>
        <v>0.29556650246305399</v>
      </c>
      <c r="K27" s="5">
        <f t="shared" si="7"/>
        <v>0.6419753086419755</v>
      </c>
      <c r="L27" s="5">
        <f t="shared" si="8"/>
        <v>0.35802469135802445</v>
      </c>
      <c r="M27" s="5">
        <f t="shared" si="13"/>
        <v>6.8631581952117604E-2</v>
      </c>
      <c r="N27" s="5">
        <f>LN(_phi2/_x2)+5*_q2*LN(theta2/_phi2)+_phi1*(_lf2)-_qp2*LN(thetap2+thetap1*_tau12)+thetap1*_qp2*(_tau12/(thetap2+thetap1*_tau12)-_tau21/(thetap1+thetap2*_tau21))</f>
        <v>1.0990677344954589</v>
      </c>
      <c r="O27" s="5">
        <f t="shared" si="10"/>
        <v>1.0710415454168261</v>
      </c>
      <c r="P27" s="5">
        <f t="shared" si="10"/>
        <v>3.0013666486756425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1.0944650777257738</v>
      </c>
      <c r="F28" s="5">
        <f t="shared" si="2"/>
        <v>0.23263887199560943</v>
      </c>
      <c r="G28" s="5">
        <f t="shared" si="3"/>
        <v>0.77150111075848971</v>
      </c>
      <c r="H28" s="5">
        <f t="shared" si="4"/>
        <v>0.22849888924151035</v>
      </c>
      <c r="I28" s="5">
        <f t="shared" si="5"/>
        <v>0.77150111075848971</v>
      </c>
      <c r="J28" s="5">
        <f t="shared" si="6"/>
        <v>0.22849888924151035</v>
      </c>
      <c r="K28" s="5">
        <f t="shared" si="7"/>
        <v>0.71753246753246791</v>
      </c>
      <c r="L28" s="5">
        <f t="shared" si="8"/>
        <v>0.2824675324675322</v>
      </c>
      <c r="M28" s="5">
        <f>LN(_phi1/_x1)+5*_q1*LN(theta1/_phi1)+_phi2*(_lf1)-_qp1*LN(thetap1+thetap2*_tau21)+thetap2*_qp1*(_tau21/(thetap1+thetap2*_tau21)-_tau12/(thetap2+thetap1*_tau12))</f>
        <v>3.9315175695969679E-2</v>
      </c>
      <c r="N28" s="5">
        <f>LN(_phi2/_x2)+5*_q2*LN(theta2/_phi2)+_phi1*(_lf2)-_qp2*LN(thetap2+thetap1*_tau12)+thetap1*_qp2*(_tau12/(thetap2+thetap1*_tau12)-_tau21/(thetap1+thetap2*_tau21))</f>
        <v>1.2373576982703736</v>
      </c>
      <c r="O28" s="5">
        <f t="shared" si="10"/>
        <v>1.0400982456845915</v>
      </c>
      <c r="P28" s="5">
        <f t="shared" si="10"/>
        <v>3.4464947438392382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1.0944650777257738</v>
      </c>
      <c r="F29" s="5">
        <f t="shared" si="2"/>
        <v>0.23263887199560943</v>
      </c>
      <c r="G29" s="5">
        <f t="shared" si="3"/>
        <v>0.84282907662082551</v>
      </c>
      <c r="H29" s="5">
        <f t="shared" si="4"/>
        <v>0.15717092337917449</v>
      </c>
      <c r="I29" s="5">
        <f t="shared" si="5"/>
        <v>0.84282907662082551</v>
      </c>
      <c r="J29" s="5">
        <f t="shared" si="6"/>
        <v>0.15717092337917449</v>
      </c>
      <c r="K29" s="5">
        <f t="shared" si="7"/>
        <v>0.80136986301369906</v>
      </c>
      <c r="L29" s="5">
        <f t="shared" si="8"/>
        <v>0.19863013698630094</v>
      </c>
      <c r="M29" s="5">
        <f>LN(_phi1/_x1)+5*_q1*LN(theta1/_phi1)+_phi2*(_lf1)-_qp1*LN(thetap1+thetap2*_tau21)+thetap2*_qp1*(_tau21/(thetap1+thetap2*_tau21)-_tau12/(thetap2+thetap1*_tau12))</f>
        <v>1.7862422080182516E-2</v>
      </c>
      <c r="N29" s="5">
        <f>LN(_phi2/_x2)+5*_q2*LN(theta2/_phi2)+_phi1*(_lf2)-_qp2*LN(thetap2+thetap1*_tau12)+thetap1*_qp2*(_tau12/(thetap2+thetap1*_tau12)-_tau21/(thetap1+thetap2*_tau21))</f>
        <v>1.3876887184874542</v>
      </c>
      <c r="O29" s="5">
        <f t="shared" si="10"/>
        <v>1.0180229092807584</v>
      </c>
      <c r="P29" s="5">
        <f t="shared" si="10"/>
        <v>4.0055813197431247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1.0944650777257738</v>
      </c>
      <c r="F30" s="5">
        <f t="shared" si="2"/>
        <v>0.23263887199560943</v>
      </c>
      <c r="G30" s="5">
        <f t="shared" si="3"/>
        <v>0.9188366587757868</v>
      </c>
      <c r="H30" s="5">
        <f t="shared" si="4"/>
        <v>8.1163341224213287E-2</v>
      </c>
      <c r="I30" s="5">
        <f t="shared" si="5"/>
        <v>0.9188366587757868</v>
      </c>
      <c r="J30" s="5">
        <f t="shared" si="6"/>
        <v>8.1163341224213287E-2</v>
      </c>
      <c r="K30" s="5">
        <f t="shared" si="7"/>
        <v>0.89492753623188459</v>
      </c>
      <c r="L30" s="5">
        <f t="shared" si="8"/>
        <v>0.10507246376811538</v>
      </c>
      <c r="M30" s="5">
        <f>LN(_phi1/_x1)+5*_q1*LN(theta1/_phi1)+_phi2*(_lf1)-_qp1*LN(thetap1+thetap2*_tau21)+thetap2*_qp1*(_tau21/(thetap1+thetap2*_tau21)-_tau12/(thetap2+thetap1*_tau12))</f>
        <v>4.5840820808010357E-3</v>
      </c>
      <c r="N30" s="5">
        <f>LN(_phi2/_x2)+5*_q2*LN(theta2/_phi2)+_phi1*(_lf2)-_qp2*LN(thetap2+thetap1*_tau12)+thetap1*_qp2*(_tau12/(thetap2+thetap1*_tau12)-_tau21/(thetap1+thetap2*_tau21))</f>
        <v>1.5518116497779595</v>
      </c>
      <c r="O30" s="5">
        <f t="shared" si="10"/>
        <v>1.0045946050583161</v>
      </c>
      <c r="P30" s="5">
        <f t="shared" si="10"/>
        <v>4.7200134528711102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1.0944650777257738</v>
      </c>
      <c r="F31" s="5">
        <f t="shared" si="2"/>
        <v>0.23263887199560943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1.731980042657375</v>
      </c>
      <c r="O31" s="5">
        <f t="shared" si="10"/>
        <v>1</v>
      </c>
      <c r="P31" s="5">
        <f t="shared" si="10"/>
        <v>5.651833708370293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S46"/>
  <sheetViews>
    <sheetView showGridLines="0" zoomScale="150" zoomScaleNormal="150" zoomScalePageLayoutView="150" workbookViewId="0">
      <selection activeCell="B16" sqref="B16"/>
    </sheetView>
  </sheetViews>
  <sheetFormatPr baseColWidth="10" defaultColWidth="9.1640625" defaultRowHeight="13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68</v>
      </c>
    </row>
    <row r="3" spans="1:19">
      <c r="A3" s="69" t="s">
        <v>228</v>
      </c>
    </row>
    <row r="4" spans="1:19" ht="15">
      <c r="A4" s="69" t="s">
        <v>71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225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226</v>
      </c>
      <c r="B7" s="62">
        <v>1730.63</v>
      </c>
      <c r="C7" s="62">
        <v>1434.2010693621778</v>
      </c>
      <c r="D7" s="62"/>
      <c r="E7" s="62"/>
      <c r="F7" s="62"/>
      <c r="O7" s="69" t="s">
        <v>67</v>
      </c>
    </row>
    <row r="8" spans="1:19">
      <c r="A8" s="183" t="s">
        <v>227</v>
      </c>
      <c r="B8" s="62">
        <v>233.42599999999999</v>
      </c>
      <c r="C8" s="62">
        <v>246.49904574755209</v>
      </c>
      <c r="D8" s="62"/>
      <c r="E8" s="62"/>
      <c r="F8" s="62"/>
      <c r="O8" s="5" t="s">
        <v>69</v>
      </c>
    </row>
    <row r="9" spans="1:19" ht="15">
      <c r="A9" s="183" t="s">
        <v>229</v>
      </c>
      <c r="B9" s="61">
        <f>10^(A.-B./(B12-273.15+C.))</f>
        <v>23.686413553095228</v>
      </c>
      <c r="C9" s="61">
        <f>10^(A.-B./(TK-273.15+C.))</f>
        <v>99.571488314950642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70</v>
      </c>
    </row>
    <row r="10" spans="1:19">
      <c r="A10" s="184" t="s">
        <v>230</v>
      </c>
      <c r="B10" s="185">
        <f>act*Psat/$B$11</f>
        <v>0.29390733014095977</v>
      </c>
      <c r="C10" s="185">
        <f>act*Psat/$B$11</f>
        <v>0.70609266985775299</v>
      </c>
      <c r="D10" s="185">
        <f>act*Psat/$B$11</f>
        <v>2.3408977434617109E-14</v>
      </c>
      <c r="E10" s="185">
        <f>act*Psat/$B$11</f>
        <v>1.0683208759832768E-12</v>
      </c>
      <c r="F10" s="185">
        <f>act*Psat/$B$11</f>
        <v>1.9547194685421425E-13</v>
      </c>
      <c r="H10" s="69" t="s">
        <v>72</v>
      </c>
      <c r="O10" s="69"/>
      <c r="P10" s="60">
        <v>1</v>
      </c>
      <c r="Q10" s="60">
        <v>2</v>
      </c>
      <c r="R10" s="60">
        <v>3</v>
      </c>
      <c r="S10" s="69" t="s">
        <v>73</v>
      </c>
    </row>
    <row r="11" spans="1:19" ht="15">
      <c r="A11" s="184" t="s">
        <v>231</v>
      </c>
      <c r="B11" s="186">
        <f t="array" ref="B11">SUM(B17:F17*B9:F9)</f>
        <v>78.424668245395949</v>
      </c>
      <c r="C11" s="187"/>
      <c r="D11" s="187"/>
      <c r="O11" s="5" t="s">
        <v>74</v>
      </c>
      <c r="P11" s="197">
        <v>0.53096394030730898</v>
      </c>
      <c r="Q11" s="197">
        <v>5.0625342641324211</v>
      </c>
      <c r="R11" s="197">
        <v>2.6115685140434906</v>
      </c>
    </row>
    <row r="12" spans="1:19" ht="15">
      <c r="A12" s="61" t="s">
        <v>75</v>
      </c>
      <c r="B12" s="62">
        <v>298.14999999999998</v>
      </c>
      <c r="C12" s="69" t="s">
        <v>76</v>
      </c>
      <c r="H12" s="69" t="s">
        <v>77</v>
      </c>
      <c r="O12" s="5" t="s">
        <v>78</v>
      </c>
      <c r="P12" s="60">
        <f>B16/I16</f>
        <v>0.5021314090009269</v>
      </c>
      <c r="Q12" s="60">
        <f>C16/J16</f>
        <v>10.729766815859165</v>
      </c>
      <c r="R12" s="60">
        <f>D16/K16</f>
        <v>5.7052388691056857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79</v>
      </c>
      <c r="P13" s="154">
        <f>B15</f>
        <v>0.96599999999999997</v>
      </c>
      <c r="Q13" s="154">
        <f>C15</f>
        <v>3.4000000000000002E-2</v>
      </c>
      <c r="R13" s="154">
        <f>D15</f>
        <v>9.9999999999999994E-12</v>
      </c>
    </row>
    <row r="14" spans="1:19" ht="16">
      <c r="A14" s="61" t="s">
        <v>80</v>
      </c>
      <c r="B14" s="62" t="s">
        <v>81</v>
      </c>
      <c r="C14" s="62" t="s">
        <v>82</v>
      </c>
      <c r="D14" s="62" t="s">
        <v>83</v>
      </c>
      <c r="E14" s="62"/>
      <c r="F14" s="62"/>
      <c r="G14"/>
      <c r="H14" s="61" t="s">
        <v>80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84</v>
      </c>
      <c r="P14" s="154">
        <f>(1-R13*(R11-Q11)-Q11)/(P11-Q11)</f>
        <v>0.89649591064466028</v>
      </c>
      <c r="Q14" s="154">
        <f>1-P14-R14</f>
        <v>9.3504089355339728E-2</v>
      </c>
      <c r="R14" s="196">
        <v>0.01</v>
      </c>
    </row>
    <row r="15" spans="1:19" ht="16">
      <c r="A15" s="61" t="s">
        <v>85</v>
      </c>
      <c r="B15" s="64">
        <v>0.96599999999999997</v>
      </c>
      <c r="C15" s="64">
        <v>3.4000000000000002E-2</v>
      </c>
      <c r="D15" s="64">
        <v>9.9999999999999994E-12</v>
      </c>
      <c r="E15" s="64">
        <v>9.9999999999999994E-12</v>
      </c>
      <c r="F15" s="64">
        <v>9.9999999999999994E-12</v>
      </c>
      <c r="G15"/>
      <c r="H15" s="61" t="s">
        <v>85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86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87</v>
      </c>
      <c r="B16" s="61">
        <f>EXP(B40+B44)</f>
        <v>1.0073645737920678</v>
      </c>
      <c r="C16" s="61">
        <f>EXP(C40+C44)</f>
        <v>16.356880374331251</v>
      </c>
      <c r="D16" s="61">
        <f>EXP(D40+D44)</f>
        <v>0.18358412892738069</v>
      </c>
      <c r="E16" s="61">
        <f>EXP(E40+E44)</f>
        <v>8.3782710278619277</v>
      </c>
      <c r="F16" s="61">
        <f>EXP(F40+F44)</f>
        <v>1.532982258332342</v>
      </c>
      <c r="G16"/>
      <c r="H16" s="65" t="s">
        <v>87</v>
      </c>
      <c r="I16" s="61">
        <f>EXP(I40+I44)</f>
        <v>2.0061771793889283</v>
      </c>
      <c r="J16" s="61">
        <f>EXP(J40+J44)</f>
        <v>1.5244395013463772</v>
      </c>
      <c r="K16" s="61">
        <f>EXP(K40+K44)</f>
        <v>3.2178166968871907E-2</v>
      </c>
      <c r="L16" s="61">
        <f>EXP(L40+L44)</f>
        <v>1.0185592021579546</v>
      </c>
      <c r="M16" s="61">
        <f>EXP(M40+M44)</f>
        <v>0.69738574530359032</v>
      </c>
      <c r="O16" s="69" t="s">
        <v>88</v>
      </c>
      <c r="P16" s="154">
        <f>P11*P14</f>
        <v>0.476007001185278</v>
      </c>
      <c r="Q16" s="154">
        <f>Q11*Q14</f>
        <v>0.47336765619790694</v>
      </c>
      <c r="R16" s="154">
        <f>R11*R14</f>
        <v>2.6115685140434906E-2</v>
      </c>
    </row>
    <row r="17" spans="1:15">
      <c r="A17" s="61" t="s">
        <v>89</v>
      </c>
      <c r="B17" s="61">
        <f>xalpha*galpha</f>
        <v>0.9731141782831374</v>
      </c>
      <c r="C17" s="61">
        <f>xalpha*galpha</f>
        <v>0.55613393272726253</v>
      </c>
      <c r="D17" s="61">
        <f>xalpha*galpha</f>
        <v>1.8358412892738067E-12</v>
      </c>
      <c r="E17" s="61">
        <f>xalpha*galpha</f>
        <v>8.3782710278619266E-11</v>
      </c>
      <c r="F17" s="61">
        <f>xalpha*galpha</f>
        <v>1.532982258332342E-11</v>
      </c>
      <c r="H17" s="61" t="s">
        <v>89</v>
      </c>
      <c r="I17" s="61">
        <f>xbeta*gbeta</f>
        <v>0.94921264736773225</v>
      </c>
      <c r="J17" s="61">
        <f>xbeta*gbeta</f>
        <v>0.76334652832274641</v>
      </c>
      <c r="K17" s="61">
        <f>xbeta*gbeta</f>
        <v>8.4036130000683738E-4</v>
      </c>
      <c r="L17" s="61">
        <f>xbeta*gbeta</f>
        <v>1.0185592021579545E-11</v>
      </c>
      <c r="M17" s="61">
        <f>xbeta*gbeta</f>
        <v>6.9738574530359032E-12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90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91</v>
      </c>
    </row>
    <row r="21" spans="1:15">
      <c r="A21" s="65" t="s">
        <v>92</v>
      </c>
      <c r="B21" s="61">
        <f>$B$19*B15/B23</f>
        <v>0.88947730091331378</v>
      </c>
      <c r="C21" s="61">
        <f>$C$19*C15/B23</f>
        <v>0.11052269901840396</v>
      </c>
      <c r="D21" s="61">
        <f>$D$19*D15/B23</f>
        <v>2.2042767210499168E-11</v>
      </c>
      <c r="E21" s="61">
        <f>$E$19*E15/B23</f>
        <v>3.1927182801258784E-11</v>
      </c>
      <c r="F21" s="61">
        <f>$F$19*F15/B23</f>
        <v>1.431218539366773E-11</v>
      </c>
      <c r="G21" s="71"/>
      <c r="H21" s="65" t="s">
        <v>92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93</v>
      </c>
    </row>
    <row r="22" spans="1:15">
      <c r="A22" s="65" t="s">
        <v>44</v>
      </c>
      <c r="B22" s="61">
        <f>$B$20*B15/D23</f>
        <v>0.93257131505033819</v>
      </c>
      <c r="C22" s="61">
        <f>$C$20*C15/D23</f>
        <v>6.7428684908963546E-2</v>
      </c>
      <c r="D22" s="61">
        <f>$D$20*D15/D23</f>
        <v>1.4287842093938931E-11</v>
      </c>
      <c r="E22" s="61">
        <f>$E$20*E15/D23</f>
        <v>1.6549624047033509E-11</v>
      </c>
      <c r="F22" s="61">
        <f>$F$20*F15/D23</f>
        <v>9.8608176613574651E-12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94</v>
      </c>
    </row>
    <row r="23" spans="1:15" ht="15">
      <c r="A23" s="67" t="s">
        <v>95</v>
      </c>
      <c r="B23" s="60">
        <f t="array" ref="B23">SUM(B15:F15*$B$19:$F$19)</f>
        <v>0.99914860006822415</v>
      </c>
      <c r="C23" s="67" t="s">
        <v>96</v>
      </c>
      <c r="D23" s="60">
        <f t="array" ref="D23">SUM($B$20:$F$20*B15:F15)</f>
        <v>1.4501840000590198</v>
      </c>
      <c r="E23"/>
      <c r="F23" s="66"/>
      <c r="H23" s="67" t="s">
        <v>95</v>
      </c>
      <c r="I23" s="60">
        <f t="array" ref="I23">SUM(I15:M15*$B$19:$F$19)</f>
        <v>2.1191616599026317</v>
      </c>
      <c r="J23" s="67" t="s">
        <v>96</v>
      </c>
      <c r="K23" s="60">
        <f t="array" ref="K23">SUM($B$20:$F$20*I15:M15)</f>
        <v>2.1566408485572506</v>
      </c>
      <c r="L23"/>
      <c r="M23" s="66"/>
    </row>
    <row r="24" spans="1:15" ht="15">
      <c r="A24" s="70" t="s">
        <v>97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98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99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100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5">
      <c r="A32" s="67" t="s">
        <v>101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1.0070284414877919</v>
      </c>
      <c r="D34" s="63">
        <f>EXP(-D26/TK)</f>
        <v>0.42638044116354101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0.31382703189877065</v>
      </c>
      <c r="C35" s="63">
        <v>1</v>
      </c>
      <c r="D35" s="63">
        <f>EXP(-D27/TK)</f>
        <v>2.3451660193240675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2.7445744267985233</v>
      </c>
      <c r="C36" s="63">
        <f t="shared" si="1"/>
        <v>1.0153904157937348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5">
      <c r="A40" s="68" t="s">
        <v>102</v>
      </c>
      <c r="B40" s="61">
        <f>LN(B21/B15)+(1-B21/B15)-5*B20*(LN(B21/B22)+(1-B21/B22))</f>
        <v>4.3984624326797034E-3</v>
      </c>
      <c r="C40" s="61">
        <f>LN(C21/C15)+(1-C21/C15)-5*C20*(LN(C21/C22)+(1-C21/C22))</f>
        <v>1.0126408537725431</v>
      </c>
      <c r="D40" s="61">
        <f>LN(D21/D15)+(1-D21/D15)-5*D20*(LN(D21/D22)+(1-D21/D22))</f>
        <v>0.71731409832205717</v>
      </c>
      <c r="E40" s="61">
        <f>LN(E21/E15)+(1-E21/E15)-5*E20*(LN(E21/E22)+(1-E21/E22))</f>
        <v>2.2331665879744547</v>
      </c>
      <c r="F40" s="61">
        <f>LN(F21/F15)+(1-F21/F15)-5*F20*(LN(F21/F22)+(1-F21/F22))</f>
        <v>0.49128201536896488</v>
      </c>
      <c r="H40" s="68" t="s">
        <v>102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5">
      <c r="A41" s="65" t="s">
        <v>103</v>
      </c>
      <c r="B41" s="61">
        <f t="array" ref="B41:F41">MMULT(B22:F22,$B$34:$F$38)</f>
        <v>0.95373225916578019</v>
      </c>
      <c r="C41" s="61">
        <v>1.0065545229212443</v>
      </c>
      <c r="D41" s="61">
        <v>0.55576162934453588</v>
      </c>
      <c r="E41" s="61">
        <v>1</v>
      </c>
      <c r="F41" s="61">
        <v>1</v>
      </c>
      <c r="H41" s="65" t="s">
        <v>103</v>
      </c>
      <c r="I41" s="61">
        <f t="array" ref="I41:M41">MMULT(I22:M22,$B$34:$F$38)</f>
        <v>0.58557180816134535</v>
      </c>
      <c r="J41" s="61">
        <v>1.0025449153420405</v>
      </c>
      <c r="K41" s="61">
        <v>1.7220678211923637</v>
      </c>
      <c r="L41" s="61">
        <v>1</v>
      </c>
      <c r="M41" s="61">
        <v>1</v>
      </c>
    </row>
    <row r="42" spans="1:13" ht="15">
      <c r="A42" s="65" t="s">
        <v>104</v>
      </c>
      <c r="B42" s="61">
        <f>B22/B41</f>
        <v>0.97781248991834324</v>
      </c>
      <c r="C42" s="61">
        <f>C22/C41</f>
        <v>6.6989600040016278E-2</v>
      </c>
      <c r="D42" s="61">
        <f>D22/D41</f>
        <v>2.5708579613151744E-11</v>
      </c>
      <c r="E42" s="61">
        <f>E22/E41</f>
        <v>1.6549624047033509E-11</v>
      </c>
      <c r="F42" s="61">
        <f>F22/F41</f>
        <v>9.8608176613574651E-12</v>
      </c>
      <c r="H42" s="65" t="s">
        <v>104</v>
      </c>
      <c r="I42" s="61">
        <f>I22/I41</f>
        <v>0.52452268929161483</v>
      </c>
      <c r="J42" s="61">
        <f>J22/J41</f>
        <v>0.66606828825646025</v>
      </c>
      <c r="K42" s="61">
        <f>K22/K41</f>
        <v>1.4570230290137357E-2</v>
      </c>
      <c r="L42" s="61">
        <f>L22/L41</f>
        <v>1.1128417611145368E-11</v>
      </c>
      <c r="M42" s="61">
        <f>M22/M41</f>
        <v>6.630682159974115E-12</v>
      </c>
    </row>
    <row r="43" spans="1:13" ht="15">
      <c r="A43" s="65" t="s">
        <v>105</v>
      </c>
      <c r="B43" s="61">
        <f t="array" ref="B43:F43">MMULT(B42:F42,TRANSPOSE(B34:F38))</f>
        <v>1.0452729224799036</v>
      </c>
      <c r="C43" s="61">
        <v>0.37385359159133785</v>
      </c>
      <c r="D43" s="61">
        <v>2.7516997519246811</v>
      </c>
      <c r="E43" s="61">
        <v>1.0448020900104784</v>
      </c>
      <c r="F43" s="61">
        <v>1.0448020900104784</v>
      </c>
      <c r="H43" s="65" t="s">
        <v>105</v>
      </c>
      <c r="I43" s="61">
        <f t="array" ref="I43:M43">MMULT(I42:M42,TRANSPOSE($B$34:$F$38))</f>
        <v>1.2014848607756816</v>
      </c>
      <c r="J43" s="61">
        <v>0.86484729598832433</v>
      </c>
      <c r="K43" s="61">
        <v>2.1304811457729982</v>
      </c>
      <c r="L43" s="61">
        <v>1.2051612078559717</v>
      </c>
      <c r="M43" s="61">
        <v>1.2051612078559717</v>
      </c>
    </row>
    <row r="44" spans="1:13" ht="15">
      <c r="A44" s="68" t="s">
        <v>106</v>
      </c>
      <c r="B44" s="61">
        <f>B20*(1-LN(B41)-B43)</f>
        <v>2.9391252987133409E-3</v>
      </c>
      <c r="C44" s="61">
        <f>C20*(1-LN(C41)-C43)</f>
        <v>1.7820077730535679</v>
      </c>
      <c r="D44" s="61">
        <f>D20*(1-LN(D41)-D43)</f>
        <v>-2.4123963466049303</v>
      </c>
      <c r="E44" s="61">
        <f>E20*(1-LN(E41)-E43)</f>
        <v>-0.10752501602514819</v>
      </c>
      <c r="F44" s="61">
        <f>F20*(1-LN(F41)-F43)</f>
        <v>-6.4066988714984133E-2</v>
      </c>
      <c r="H44" s="68" t="s">
        <v>106</v>
      </c>
      <c r="I44" s="61">
        <f>$B$20*(1-LN(I41)-I43)</f>
        <v>0.46715423792686422</v>
      </c>
      <c r="J44" s="61">
        <f>$C$20*(1-LN(J41)-J43)</f>
        <v>0.38138929778517017</v>
      </c>
      <c r="K44" s="61">
        <f>$D$20*(1-LN(K41)-K43)</f>
        <v>-3.4685423716656998</v>
      </c>
      <c r="L44" s="61">
        <f>$E$20*(1-LN(L41)-L43)</f>
        <v>-0.49238689885433207</v>
      </c>
      <c r="M44" s="61">
        <f>$F$20*(1-LN(M41)-M43)</f>
        <v>-0.29338052723403951</v>
      </c>
    </row>
    <row r="46" spans="1:13">
      <c r="A46" s="60" t="s">
        <v>107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DF73"/>
  <sheetViews>
    <sheetView showGridLines="0" topLeftCell="A6" zoomScale="125" zoomScaleNormal="125" zoomScalePageLayoutView="125" workbookViewId="0">
      <selection activeCell="D28" sqref="D28"/>
    </sheetView>
  </sheetViews>
  <sheetFormatPr baseColWidth="10" defaultColWidth="9.1640625" defaultRowHeight="16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16384" width="9.1640625" style="32"/>
  </cols>
  <sheetData>
    <row r="1" spans="1:46">
      <c r="A1" s="144" t="s">
        <v>108</v>
      </c>
      <c r="C1" s="144"/>
      <c r="D1" s="144"/>
    </row>
    <row r="2" spans="1:46">
      <c r="A2" s="144" t="s">
        <v>262</v>
      </c>
      <c r="C2" s="144"/>
      <c r="D2" s="144"/>
    </row>
    <row r="3" spans="1:46" s="144" customFormat="1" ht="13">
      <c r="A3" s="144" t="s">
        <v>263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46">
      <c r="A4" s="144"/>
      <c r="C4" s="144"/>
      <c r="D4" s="144"/>
    </row>
    <row r="5" spans="1:46">
      <c r="A5" s="144"/>
      <c r="C5" s="144"/>
      <c r="D5" s="144"/>
    </row>
    <row r="6" spans="1:46">
      <c r="C6" s="144"/>
      <c r="D6" s="144"/>
    </row>
    <row r="7" spans="1:46">
      <c r="B7" s="144"/>
      <c r="C7" s="144"/>
      <c r="D7" s="144"/>
    </row>
    <row r="8" spans="1:46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46">
      <c r="B9" s="203" t="s">
        <v>115</v>
      </c>
      <c r="C9" s="203">
        <f t="array" ref="C9">SUM(C21:G21*C22:G22*C16:G16)</f>
        <v>65.018837759668955</v>
      </c>
      <c r="D9" s="203" t="s">
        <v>116</v>
      </c>
      <c r="E9" s="201"/>
      <c r="F9" s="201"/>
      <c r="G9" s="201"/>
      <c r="H9" s="49"/>
      <c r="Y9" s="35"/>
      <c r="AO9" s="202"/>
      <c r="AT9" s="201"/>
    </row>
    <row r="10" spans="1:46">
      <c r="B10" s="203" t="s">
        <v>295</v>
      </c>
      <c r="C10" s="204">
        <v>25</v>
      </c>
      <c r="D10" s="205" t="s">
        <v>119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46" s="33" customFormat="1">
      <c r="A11" s="206" t="s">
        <v>296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46" s="72" customFormat="1" ht="11">
      <c r="C12" s="36" t="s">
        <v>122</v>
      </c>
      <c r="D12" s="36" t="s">
        <v>123</v>
      </c>
      <c r="E12" s="36" t="s">
        <v>124</v>
      </c>
      <c r="F12" s="36" t="s">
        <v>125</v>
      </c>
      <c r="G12" s="36" t="s">
        <v>126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46" s="72" customFormat="1" ht="11">
      <c r="B13" s="35" t="s">
        <v>127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46" s="72" customFormat="1" ht="11">
      <c r="B14" s="35" t="s">
        <v>128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46" s="72" customFormat="1" ht="11">
      <c r="B15" s="35" t="s">
        <v>129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</row>
    <row r="16" spans="1:46" s="35" customFormat="1" ht="13">
      <c r="B16" s="35" t="s">
        <v>130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</row>
    <row r="17" spans="1:49" s="35" customFormat="1" ht="11">
      <c r="B17" s="35" t="s">
        <v>131</v>
      </c>
      <c r="C17" s="191">
        <f>C21*C22*C16/$C$9</f>
        <v>0.61094687756468813</v>
      </c>
      <c r="D17" s="191">
        <f>D21*D22*D16/$C$9</f>
        <v>0.38905312243531193</v>
      </c>
      <c r="E17" s="191">
        <f>E21*E22*E16/$C$9</f>
        <v>0</v>
      </c>
      <c r="F17" s="191">
        <f>F21*F22*F16/$C$9</f>
        <v>3.4460534632334778E-20</v>
      </c>
      <c r="G17" s="191">
        <f>G21*G22*G16/$C$9</f>
        <v>1.1359960816079722E-19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</row>
    <row r="18" spans="1:49" s="35" customFormat="1" ht="13">
      <c r="A18" s="206" t="s">
        <v>264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</row>
    <row r="19" spans="1:49" s="35" customFormat="1" ht="11">
      <c r="C19" s="36" t="s">
        <v>122</v>
      </c>
      <c r="D19" s="36" t="s">
        <v>123</v>
      </c>
      <c r="E19" s="36" t="s">
        <v>124</v>
      </c>
      <c r="F19" s="36" t="s">
        <v>125</v>
      </c>
      <c r="G19" s="36" t="s">
        <v>126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49" s="72" customFormat="1" ht="13">
      <c r="B20" s="35"/>
      <c r="C20" s="53" t="s">
        <v>349</v>
      </c>
      <c r="D20" s="53" t="s">
        <v>348</v>
      </c>
      <c r="E20" s="53" t="s">
        <v>265</v>
      </c>
      <c r="F20" s="54" t="s">
        <v>132</v>
      </c>
      <c r="G20" s="53" t="s">
        <v>133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</row>
    <row r="21" spans="1:49" s="72" customFormat="1" ht="15">
      <c r="B21" s="72" t="s">
        <v>297</v>
      </c>
      <c r="C21" s="55">
        <v>0.68300000000000005</v>
      </c>
      <c r="D21" s="55">
        <v>0.317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134</v>
      </c>
      <c r="M21" s="36"/>
      <c r="N21" s="202"/>
      <c r="O21" s="202"/>
      <c r="P21" s="202"/>
      <c r="Q21" s="202"/>
      <c r="R21" s="80" t="s">
        <v>135</v>
      </c>
      <c r="S21" s="36"/>
      <c r="T21" s="36"/>
      <c r="U21" s="36"/>
      <c r="V21" s="202"/>
      <c r="W21" s="35"/>
      <c r="X21" s="81" t="s">
        <v>136</v>
      </c>
      <c r="Y21" s="36"/>
      <c r="Z21" s="35"/>
      <c r="AA21" s="35"/>
      <c r="AB21" s="202"/>
      <c r="AC21" s="36"/>
      <c r="AD21" s="81" t="s">
        <v>137</v>
      </c>
      <c r="AE21" s="35"/>
      <c r="AF21" s="35"/>
      <c r="AG21" s="35"/>
      <c r="AH21" s="36"/>
      <c r="AI21" s="36"/>
      <c r="AJ21" s="81" t="s">
        <v>138</v>
      </c>
      <c r="AK21" s="35"/>
      <c r="AL21" s="35"/>
      <c r="AN21" s="202"/>
      <c r="AP21" s="72" t="s">
        <v>139</v>
      </c>
      <c r="AU21" s="210"/>
      <c r="AV21" s="210"/>
      <c r="AW21" s="210"/>
    </row>
    <row r="22" spans="1:49" s="72" customFormat="1" ht="13">
      <c r="A22" s="72" t="s">
        <v>266</v>
      </c>
      <c r="B22" s="82" t="s">
        <v>140</v>
      </c>
      <c r="C22" s="56">
        <f>EXP(C52-C51+C50)</f>
        <v>1.3403422111352308</v>
      </c>
      <c r="D22" s="56">
        <f>EXP(D52-D51+D50)</f>
        <v>3.3689109961057913</v>
      </c>
      <c r="E22" s="56">
        <f>EXP(E52-E51+E50)</f>
        <v>1.9171864777880228</v>
      </c>
      <c r="F22" s="56">
        <f>EXP(F52-F51+F50)</f>
        <v>3.7982560087393642</v>
      </c>
      <c r="G22" s="56">
        <f>EXP(G52-G51+G50)</f>
        <v>1.4403746275352318</v>
      </c>
      <c r="H22" s="82" t="s">
        <v>141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142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142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142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142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142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142</v>
      </c>
      <c r="AU22" s="144"/>
      <c r="AV22" s="144"/>
      <c r="AW22" s="144"/>
    </row>
    <row r="23" spans="1:49" s="72" customFormat="1" ht="13">
      <c r="A23" s="211">
        <v>1</v>
      </c>
      <c r="B23" s="35" t="str">
        <f>'aij-UNIFAC (VLE)'!V10</f>
        <v>CH3</v>
      </c>
      <c r="C23" s="57"/>
      <c r="D23" s="57"/>
      <c r="E23" s="57">
        <v>1</v>
      </c>
      <c r="F23" s="57">
        <v>1</v>
      </c>
      <c r="G23" s="57">
        <v>2</v>
      </c>
      <c r="H23" s="83">
        <f t="array" ref="H23">SUM(C23:G23*$C$21:$G$21)</f>
        <v>3.9999999999999998E-20</v>
      </c>
      <c r="I23" s="36" t="str">
        <f t="shared" ref="I23:I42" si="0">B23</f>
        <v>CH3</v>
      </c>
      <c r="J23" s="84">
        <f t="shared" ref="J23:J42" si="1">C23/C$44</f>
        <v>0</v>
      </c>
      <c r="K23" s="85">
        <f t="shared" ref="K23:K42" si="2">D23/D$44</f>
        <v>0</v>
      </c>
      <c r="L23" s="85">
        <f t="shared" ref="L23:L42" si="3">E23/E$44</f>
        <v>0.33333333333333331</v>
      </c>
      <c r="M23" s="85">
        <f t="shared" ref="M23:M42" si="4">F23/F$44</f>
        <v>0.33333333333333331</v>
      </c>
      <c r="N23" s="85">
        <f t="shared" ref="N23:N42" si="5">G23/G$44</f>
        <v>0.4</v>
      </c>
      <c r="O23" s="212">
        <f t="shared" ref="O23:O42" si="6">H23/$H$43</f>
        <v>7.846214201647703E-21</v>
      </c>
      <c r="P23" s="84">
        <f>J23*'aij-UNIFAC (VLE)'!$X10/J$43</f>
        <v>0</v>
      </c>
      <c r="Q23" s="85">
        <f>K23*'aij-UNIFAC (VLE)'!$X10/K$43</f>
        <v>0</v>
      </c>
      <c r="R23" s="85">
        <f>L23*'aij-UNIFAC (VLE)'!$X10/L$43</f>
        <v>0.32465543644716688</v>
      </c>
      <c r="S23" s="85">
        <f>M23*'aij-UNIFAC (VLE)'!$X10/M$43</f>
        <v>0.32766615146831529</v>
      </c>
      <c r="T23" s="85">
        <f>N23*'aij-UNIFAC (VLE)'!$X10/N$43</f>
        <v>0.51145958986730999</v>
      </c>
      <c r="U23" s="87">
        <f>O23*'aij-UNIFAC (VLE)'!$X10/O$43</f>
        <v>1.0880010674727453E-20</v>
      </c>
      <c r="V23" s="84">
        <f t="array" ref="V23:AA42">MMULT(TRANSPOSE(tau),P23:U42)</f>
        <v>1.0445686382856014</v>
      </c>
      <c r="W23" s="88">
        <v>0.94613046106461629</v>
      </c>
      <c r="X23" s="85">
        <v>0.69414789551785028</v>
      </c>
      <c r="Y23" s="85">
        <v>0.81073147016518665</v>
      </c>
      <c r="Z23" s="88">
        <v>1</v>
      </c>
      <c r="AA23" s="89">
        <v>1.0302355650032118</v>
      </c>
      <c r="AB23" s="213">
        <f t="shared" ref="AB23:AB42" si="7">P23/V23</f>
        <v>0</v>
      </c>
      <c r="AC23" s="214">
        <f t="shared" ref="AC23:AC42" si="8">Q23/W23</f>
        <v>0</v>
      </c>
      <c r="AD23" s="214">
        <f t="shared" ref="AD23:AD42" si="9">R23/X23</f>
        <v>0.46770355214426812</v>
      </c>
      <c r="AE23" s="214">
        <f t="shared" ref="AE23:AE42" si="10">S23/Y23</f>
        <v>0.40416113537760323</v>
      </c>
      <c r="AF23" s="214">
        <f t="shared" ref="AF23:AF42" si="11">T23/Z23</f>
        <v>0.51145958986730999</v>
      </c>
      <c r="AG23" s="212">
        <f t="shared" ref="AG23:AG42" si="12">U23/AA23</f>
        <v>1.0560701886362789E-20</v>
      </c>
      <c r="AH23" s="84">
        <f t="array" ref="AH23:AM42">MMULT(tau,AB23:AG42)</f>
        <v>0.95657159189084895</v>
      </c>
      <c r="AI23" s="85">
        <v>9.6479931281565207E-2</v>
      </c>
      <c r="AJ23" s="88">
        <v>0.86177004640731925</v>
      </c>
      <c r="AK23" s="88">
        <v>0.69660671354206738</v>
      </c>
      <c r="AL23" s="88">
        <v>1</v>
      </c>
      <c r="AM23" s="89">
        <v>0.8788682754978685</v>
      </c>
      <c r="AN23" s="92">
        <f>'aij-UNIFAC (VLE)'!$X10*(1-LN(V23)-AH23)</f>
        <v>-1.4891368306033746E-4</v>
      </c>
      <c r="AO23" s="93">
        <f>'aij-UNIFAC (VLE)'!$X10*(1-LN(W23)-AI23)</f>
        <v>0.81314285828664878</v>
      </c>
      <c r="AP23" s="93">
        <f>'aij-UNIFAC (VLE)'!$X10*(1-LN(X23)-AJ23)</f>
        <v>0.42679856013492545</v>
      </c>
      <c r="AQ23" s="93">
        <f>'aij-UNIFAC (VLE)'!$X10*(1-LN(Y23)-AK23)</f>
        <v>0.43520350098588362</v>
      </c>
      <c r="AR23" s="93">
        <f>'aij-UNIFAC (VLE)'!$X10*(1-LN(Z23)-AL23)</f>
        <v>0</v>
      </c>
      <c r="AS23" s="94">
        <f>'aij-UNIFAC (VLE)'!$X10*(1-LN(AA23)-AM23)</f>
        <v>7.7459919355267262E-2</v>
      </c>
      <c r="AU23" s="144"/>
      <c r="AV23" s="144"/>
      <c r="AW23" s="144"/>
    </row>
    <row r="24" spans="1:49" s="72" customFormat="1" ht="13">
      <c r="A24" s="211">
        <v>2</v>
      </c>
      <c r="B24" s="35" t="str">
        <f>'aij-UNIFAC (VLE)'!V11</f>
        <v>CH2</v>
      </c>
      <c r="C24" s="57">
        <v>6</v>
      </c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4.0980000000000008</v>
      </c>
      <c r="I24" s="36" t="str">
        <f t="shared" si="0"/>
        <v>CH2</v>
      </c>
      <c r="J24" s="95">
        <f t="shared" si="1"/>
        <v>0.8571428571428571</v>
      </c>
      <c r="K24" s="96">
        <f t="shared" si="2"/>
        <v>0</v>
      </c>
      <c r="L24" s="96">
        <f t="shared" si="3"/>
        <v>0.33333333333333331</v>
      </c>
      <c r="M24" s="96">
        <f t="shared" si="4"/>
        <v>0.33333333333333331</v>
      </c>
      <c r="N24" s="96">
        <f t="shared" si="5"/>
        <v>0.6</v>
      </c>
      <c r="O24" s="215">
        <f t="shared" si="6"/>
        <v>0.80384464495880736</v>
      </c>
      <c r="P24" s="95">
        <f>J24*'aij-UNIFAC (VLE)'!$X11/J$43</f>
        <v>0.8307692307692307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0.20865533230293665</v>
      </c>
      <c r="T24" s="96">
        <f>N24*'aij-UNIFAC (VLE)'!$X11/N$43</f>
        <v>0.48854041013269001</v>
      </c>
      <c r="U24" s="98">
        <f>O24*'aij-UNIFAC (VLE)'!$X11/O$43</f>
        <v>0.7098052247145602</v>
      </c>
      <c r="V24" s="95">
        <v>1.0445686382856014</v>
      </c>
      <c r="W24" s="99">
        <v>0.94613046106461629</v>
      </c>
      <c r="X24" s="96">
        <v>0.69414789551785028</v>
      </c>
      <c r="Y24" s="96">
        <v>0.81073147016518665</v>
      </c>
      <c r="Z24" s="99">
        <v>1</v>
      </c>
      <c r="AA24" s="100">
        <v>1.0302355650032118</v>
      </c>
      <c r="AB24" s="216">
        <f t="shared" si="7"/>
        <v>0.79532277757518255</v>
      </c>
      <c r="AC24" s="217">
        <f t="shared" si="8"/>
        <v>0</v>
      </c>
      <c r="AD24" s="217">
        <f t="shared" si="9"/>
        <v>0.29783009216734063</v>
      </c>
      <c r="AE24" s="217">
        <f t="shared" si="10"/>
        <v>0.25736676073573794</v>
      </c>
      <c r="AF24" s="217">
        <f t="shared" si="11"/>
        <v>0.48854041013269001</v>
      </c>
      <c r="AG24" s="215">
        <f t="shared" si="12"/>
        <v>0.68897371516420847</v>
      </c>
      <c r="AH24" s="95">
        <v>0.95657159189084895</v>
      </c>
      <c r="AI24" s="96">
        <v>9.6479931281565207E-2</v>
      </c>
      <c r="AJ24" s="99">
        <v>0.86177004640731925</v>
      </c>
      <c r="AK24" s="99">
        <v>0.69660671354206738</v>
      </c>
      <c r="AL24" s="99">
        <v>1</v>
      </c>
      <c r="AM24" s="100">
        <v>0.8788682754978685</v>
      </c>
      <c r="AN24" s="103">
        <f>'aij-UNIFAC (VLE)'!$X11*(1-LN(V24)-AH24)</f>
        <v>-9.4827109495969629E-5</v>
      </c>
      <c r="AO24" s="104">
        <f>'aij-UNIFAC (VLE)'!$X11*(1-LN(W24)-AI24)</f>
        <v>0.51780323522970562</v>
      </c>
      <c r="AP24" s="104">
        <f>'aij-UNIFAC (VLE)'!$X11*(1-LN(X24)-AJ24)</f>
        <v>0.27178210197271196</v>
      </c>
      <c r="AQ24" s="104">
        <f>'aij-UNIFAC (VLE)'!$X11*(1-LN(Y24)-AK24)</f>
        <v>0.27713430487308632</v>
      </c>
      <c r="AR24" s="104">
        <f>'aij-UNIFAC (VLE)'!$X11*(1-LN(Z24)-AL24)</f>
        <v>0</v>
      </c>
      <c r="AS24" s="105">
        <f>'aij-UNIFAC (VLE)'!$X11*(1-LN(AA24)-AM24)</f>
        <v>4.9325892042269254E-2</v>
      </c>
      <c r="AU24" s="144"/>
      <c r="AV24" s="144"/>
      <c r="AW24" s="144"/>
    </row>
    <row r="25" spans="1:49" s="72" customFormat="1" ht="11">
      <c r="A25" s="211">
        <v>3</v>
      </c>
      <c r="B25" s="35" t="str">
        <f>'aij-UNIFAC (VLE)'!V12</f>
        <v>CH</v>
      </c>
      <c r="C25" s="57"/>
      <c r="D25" s="57"/>
      <c r="E25" s="57"/>
      <c r="F25" s="57"/>
      <c r="G25" s="57"/>
      <c r="H25" s="83">
        <f t="array" ref="H25">SUM(C25:G25*$C$21:$G$21)</f>
        <v>0</v>
      </c>
      <c r="I25" s="36" t="str">
        <f t="shared" si="0"/>
        <v>CH</v>
      </c>
      <c r="J25" s="95">
        <f t="shared" si="1"/>
        <v>0</v>
      </c>
      <c r="K25" s="96">
        <f t="shared" si="2"/>
        <v>0</v>
      </c>
      <c r="L25" s="96">
        <f t="shared" si="3"/>
        <v>0</v>
      </c>
      <c r="M25" s="96">
        <f t="shared" si="4"/>
        <v>0</v>
      </c>
      <c r="N25" s="96">
        <f t="shared" si="5"/>
        <v>0</v>
      </c>
      <c r="O25" s="215">
        <f t="shared" si="6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1.0445686382856014</v>
      </c>
      <c r="W25" s="99">
        <v>0.94613046106461629</v>
      </c>
      <c r="X25" s="99">
        <v>0.69414789551785028</v>
      </c>
      <c r="Y25" s="99">
        <v>0.81073147016518665</v>
      </c>
      <c r="Z25" s="99">
        <v>1</v>
      </c>
      <c r="AA25" s="100">
        <v>1.0302355650032118</v>
      </c>
      <c r="AB25" s="216">
        <f t="shared" si="7"/>
        <v>0</v>
      </c>
      <c r="AC25" s="217">
        <f t="shared" si="8"/>
        <v>0</v>
      </c>
      <c r="AD25" s="217">
        <f t="shared" si="9"/>
        <v>0</v>
      </c>
      <c r="AE25" s="217">
        <f t="shared" si="10"/>
        <v>0</v>
      </c>
      <c r="AF25" s="217">
        <f t="shared" si="11"/>
        <v>0</v>
      </c>
      <c r="AG25" s="215">
        <f t="shared" si="12"/>
        <v>0</v>
      </c>
      <c r="AH25" s="106">
        <v>0.95657159189084895</v>
      </c>
      <c r="AI25" s="99">
        <v>9.6479931281565207E-2</v>
      </c>
      <c r="AJ25" s="99">
        <v>0.86177004640731925</v>
      </c>
      <c r="AK25" s="99">
        <v>0.69660671354206738</v>
      </c>
      <c r="AL25" s="99">
        <v>1</v>
      </c>
      <c r="AM25" s="100">
        <v>0.8788682754978685</v>
      </c>
      <c r="AN25" s="103">
        <f>'aij-UNIFAC (VLE)'!$X12*(1-LN(V25)-AH25)</f>
        <v>-4.0038112898298286E-5</v>
      </c>
      <c r="AO25" s="104">
        <f>'aij-UNIFAC (VLE)'!$X12*(1-LN(W25)-AI25)</f>
        <v>0.21862803265254235</v>
      </c>
      <c r="AP25" s="104">
        <f>'aij-UNIFAC (VLE)'!$X12*(1-LN(X25)-AJ25)</f>
        <v>0.11475244305514505</v>
      </c>
      <c r="AQ25" s="104">
        <f>'aij-UNIFAC (VLE)'!$X12*(1-LN(Y25)-AK25)</f>
        <v>0.11701226205752532</v>
      </c>
      <c r="AR25" s="104">
        <f>'aij-UNIFAC (VLE)'!$X12*(1-LN(Z25)-AL25)</f>
        <v>0</v>
      </c>
      <c r="AS25" s="105">
        <f>'aij-UNIFAC (VLE)'!$X12*(1-LN(AA25)-AM25)</f>
        <v>2.0826487751180348E-2</v>
      </c>
    </row>
    <row r="26" spans="1:49" s="72" customFormat="1" ht="11">
      <c r="A26" s="211">
        <v>9</v>
      </c>
      <c r="B26" s="35" t="str">
        <f>'aij-UNIFAC (VLE)'!V13</f>
        <v>ACH</v>
      </c>
      <c r="C26" s="57"/>
      <c r="D26" s="57"/>
      <c r="E26" s="57"/>
      <c r="F26" s="57"/>
      <c r="G26" s="57"/>
      <c r="H26" s="83">
        <f t="array" ref="H26">SUM(C26:G26*$C$21:$G$21)</f>
        <v>0</v>
      </c>
      <c r="I26" s="36" t="str">
        <f t="shared" si="0"/>
        <v>ACH</v>
      </c>
      <c r="J26" s="95">
        <f t="shared" si="1"/>
        <v>0</v>
      </c>
      <c r="K26" s="96">
        <f t="shared" si="2"/>
        <v>0</v>
      </c>
      <c r="L26" s="96">
        <f t="shared" si="3"/>
        <v>0</v>
      </c>
      <c r="M26" s="96">
        <f t="shared" si="4"/>
        <v>0</v>
      </c>
      <c r="N26" s="96">
        <f t="shared" si="5"/>
        <v>0</v>
      </c>
      <c r="O26" s="215">
        <f t="shared" si="6"/>
        <v>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0</v>
      </c>
      <c r="V26" s="95">
        <v>0.95365641078992724</v>
      </c>
      <c r="W26" s="96">
        <v>1.1825827546595307</v>
      </c>
      <c r="X26" s="96">
        <v>0.81310145961048286</v>
      </c>
      <c r="Y26" s="99">
        <v>0.78022226540407535</v>
      </c>
      <c r="Z26" s="99">
        <v>0.81462204265395999</v>
      </c>
      <c r="AA26" s="100">
        <v>0.98698919036371557</v>
      </c>
      <c r="AB26" s="216">
        <f t="shared" si="7"/>
        <v>0</v>
      </c>
      <c r="AC26" s="217">
        <f t="shared" si="8"/>
        <v>0</v>
      </c>
      <c r="AD26" s="217">
        <f t="shared" si="9"/>
        <v>0</v>
      </c>
      <c r="AE26" s="217">
        <f t="shared" si="10"/>
        <v>0</v>
      </c>
      <c r="AF26" s="217">
        <f t="shared" si="11"/>
        <v>0</v>
      </c>
      <c r="AG26" s="215">
        <f t="shared" si="12"/>
        <v>0</v>
      </c>
      <c r="AH26" s="95">
        <v>0.94457988088063882</v>
      </c>
      <c r="AI26" s="99">
        <v>0.11794761735227337</v>
      </c>
      <c r="AJ26" s="99">
        <v>0.94152419087402739</v>
      </c>
      <c r="AK26" s="99">
        <v>0.80028488520762786</v>
      </c>
      <c r="AL26" s="99">
        <v>1.0380009113747288</v>
      </c>
      <c r="AM26" s="100">
        <v>0.88450953729694393</v>
      </c>
      <c r="AN26" s="103">
        <f>'aij-UNIFAC (VLE)'!$X13*(1-LN(V26)-AH26)</f>
        <v>4.1148779171917796E-2</v>
      </c>
      <c r="AO26" s="104">
        <f>'aij-UNIFAC (VLE)'!$X13*(1-LN(W26)-AI26)</f>
        <v>0.28574062436548003</v>
      </c>
      <c r="AP26" s="104">
        <f>'aij-UNIFAC (VLE)'!$X13*(1-LN(X26)-AJ26)</f>
        <v>0.10615007591115339</v>
      </c>
      <c r="AQ26" s="104">
        <f>'aij-UNIFAC (VLE)'!$X13*(1-LN(Y26)-AK26)</f>
        <v>0.1791566236147081</v>
      </c>
      <c r="AR26" s="104">
        <f>'aij-UNIFAC (VLE)'!$X13*(1-LN(Z26)-AL26)</f>
        <v>6.6812045310916807E-2</v>
      </c>
      <c r="AS26" s="105">
        <f>'aij-UNIFAC (VLE)'!$X13*(1-LN(AA26)-AM26)</f>
        <v>5.1434661729652609E-2</v>
      </c>
    </row>
    <row r="27" spans="1:49" s="72" customFormat="1" ht="11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0"/>
        <v>AC</v>
      </c>
      <c r="J27" s="95">
        <f t="shared" si="1"/>
        <v>0</v>
      </c>
      <c r="K27" s="96">
        <f t="shared" si="2"/>
        <v>0</v>
      </c>
      <c r="L27" s="96">
        <f t="shared" si="3"/>
        <v>0</v>
      </c>
      <c r="M27" s="96">
        <f t="shared" si="4"/>
        <v>0</v>
      </c>
      <c r="N27" s="96">
        <f t="shared" si="5"/>
        <v>0</v>
      </c>
      <c r="O27" s="215">
        <f t="shared" si="6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0.95365641078992724</v>
      </c>
      <c r="W27" s="96">
        <v>1.1825827546595307</v>
      </c>
      <c r="X27" s="96">
        <v>0.81310145961048286</v>
      </c>
      <c r="Y27" s="99">
        <v>0.78022226540407535</v>
      </c>
      <c r="Z27" s="99">
        <v>0.81462204265395999</v>
      </c>
      <c r="AA27" s="100">
        <v>0.98698919036371557</v>
      </c>
      <c r="AB27" s="216">
        <f t="shared" si="7"/>
        <v>0</v>
      </c>
      <c r="AC27" s="217">
        <f t="shared" si="8"/>
        <v>0</v>
      </c>
      <c r="AD27" s="217">
        <f t="shared" si="9"/>
        <v>0</v>
      </c>
      <c r="AE27" s="217">
        <f t="shared" si="10"/>
        <v>0</v>
      </c>
      <c r="AF27" s="217">
        <f t="shared" si="11"/>
        <v>0</v>
      </c>
      <c r="AG27" s="215">
        <f t="shared" si="12"/>
        <v>0</v>
      </c>
      <c r="AH27" s="95">
        <v>0.94457988088063882</v>
      </c>
      <c r="AI27" s="99">
        <v>0.11794761735227337</v>
      </c>
      <c r="AJ27" s="99">
        <v>0.94152419087402739</v>
      </c>
      <c r="AK27" s="99">
        <v>0.80028488520762786</v>
      </c>
      <c r="AL27" s="99">
        <v>1.0380009113747288</v>
      </c>
      <c r="AM27" s="100">
        <v>0.88450953729694393</v>
      </c>
      <c r="AN27" s="103">
        <f>'aij-UNIFAC (VLE)'!$X14*(1-LN(V27)-AH27)</f>
        <v>1.2344633751575337E-2</v>
      </c>
      <c r="AO27" s="104">
        <f>'aij-UNIFAC (VLE)'!$X14*(1-LN(W27)-AI27)</f>
        <v>8.572218730964401E-2</v>
      </c>
      <c r="AP27" s="104">
        <f>'aij-UNIFAC (VLE)'!$X14*(1-LN(X27)-AJ27)</f>
        <v>3.1845022773346013E-2</v>
      </c>
      <c r="AQ27" s="104">
        <f>'aij-UNIFAC (VLE)'!$X14*(1-LN(Y27)-AK27)</f>
        <v>5.3746987084412425E-2</v>
      </c>
      <c r="AR27" s="104">
        <f>'aij-UNIFAC (VLE)'!$X14*(1-LN(Z27)-AL27)</f>
        <v>2.0043613593275039E-2</v>
      </c>
      <c r="AS27" s="105">
        <f>'aij-UNIFAC (VLE)'!$X14*(1-LN(AA27)-AM27)</f>
        <v>1.5430398518895782E-2</v>
      </c>
    </row>
    <row r="28" spans="1:49" s="72" customFormat="1" ht="11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0"/>
        <v>ACCH3</v>
      </c>
      <c r="J28" s="95">
        <f t="shared" si="1"/>
        <v>0</v>
      </c>
      <c r="K28" s="96">
        <f t="shared" si="2"/>
        <v>0</v>
      </c>
      <c r="L28" s="96">
        <f t="shared" si="3"/>
        <v>0</v>
      </c>
      <c r="M28" s="96">
        <f t="shared" si="4"/>
        <v>0</v>
      </c>
      <c r="N28" s="96">
        <f t="shared" si="5"/>
        <v>0</v>
      </c>
      <c r="O28" s="215">
        <f t="shared" si="6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0.81198973710311972</v>
      </c>
      <c r="W28" s="96">
        <v>1.160967525690739</v>
      </c>
      <c r="X28" s="96">
        <v>0.75768766549455413</v>
      </c>
      <c r="Y28" s="99">
        <v>0.84016052039525224</v>
      </c>
      <c r="Z28" s="99">
        <v>0.77369135021671831</v>
      </c>
      <c r="AA28" s="100">
        <v>0.86280258592826431</v>
      </c>
      <c r="AB28" s="216">
        <f t="shared" si="7"/>
        <v>0</v>
      </c>
      <c r="AC28" s="217">
        <f t="shared" si="8"/>
        <v>0</v>
      </c>
      <c r="AD28" s="217">
        <f t="shared" si="9"/>
        <v>0</v>
      </c>
      <c r="AE28" s="217">
        <f t="shared" si="10"/>
        <v>0</v>
      </c>
      <c r="AF28" s="217">
        <f t="shared" si="11"/>
        <v>0</v>
      </c>
      <c r="AG28" s="215">
        <f t="shared" si="12"/>
        <v>0</v>
      </c>
      <c r="AH28" s="95">
        <v>1.2131940034449231</v>
      </c>
      <c r="AI28" s="99">
        <v>0.13223922138243857</v>
      </c>
      <c r="AJ28" s="99">
        <v>1.0149190465993372</v>
      </c>
      <c r="AK28" s="99">
        <v>0.90061819300939439</v>
      </c>
      <c r="AL28" s="99">
        <v>1.2633601353240085</v>
      </c>
      <c r="AM28" s="100">
        <v>1.1205682831579311</v>
      </c>
      <c r="AN28" s="103">
        <f>'aij-UNIFAC (VLE)'!$X15*(1-LN(V28)-AH28)</f>
        <v>-4.7687798927350186E-3</v>
      </c>
      <c r="AO28" s="104">
        <f>'aij-UNIFAC (VLE)'!$X15*(1-LN(W28)-AI28)</f>
        <v>0.69551482176150081</v>
      </c>
      <c r="AP28" s="104">
        <f>'aij-UNIFAC (VLE)'!$X15*(1-LN(X28)-AJ28)</f>
        <v>0.25416290301685357</v>
      </c>
      <c r="AQ28" s="104">
        <f>'aij-UNIFAC (VLE)'!$X15*(1-LN(Y28)-AK28)</f>
        <v>0.2647907049493462</v>
      </c>
      <c r="AR28" s="104">
        <f>'aij-UNIFAC (VLE)'!$X15*(1-LN(Z28)-AL28)</f>
        <v>-6.5609859726776486E-3</v>
      </c>
      <c r="AS28" s="105">
        <f>'aij-UNIFAC (VLE)'!$X15*(1-LN(AA28)-AM28)</f>
        <v>2.6137049484768655E-2</v>
      </c>
    </row>
    <row r="29" spans="1:49" s="72" customFormat="1" ht="11">
      <c r="A29" s="211">
        <v>12</v>
      </c>
      <c r="B29" s="35" t="str">
        <f>'aij-UNIFAC (VLE)'!V16</f>
        <v>ACCH2</v>
      </c>
      <c r="C29" s="57">
        <v>1</v>
      </c>
      <c r="D29" s="57"/>
      <c r="E29" s="57"/>
      <c r="F29" s="57"/>
      <c r="G29" s="57"/>
      <c r="H29" s="83">
        <f t="array" ref="H29">SUM(C29:G29*$C$21:$G$21)</f>
        <v>0.68300000000000005</v>
      </c>
      <c r="I29" s="36" t="str">
        <f t="shared" si="0"/>
        <v>ACCH2</v>
      </c>
      <c r="J29" s="95">
        <f t="shared" si="1"/>
        <v>0.14285714285714285</v>
      </c>
      <c r="K29" s="96">
        <f t="shared" si="2"/>
        <v>0</v>
      </c>
      <c r="L29" s="96">
        <f t="shared" si="3"/>
        <v>0</v>
      </c>
      <c r="M29" s="96">
        <f t="shared" si="4"/>
        <v>0</v>
      </c>
      <c r="N29" s="96">
        <f t="shared" si="5"/>
        <v>0</v>
      </c>
      <c r="O29" s="215">
        <f t="shared" si="6"/>
        <v>0.13397410749313454</v>
      </c>
      <c r="P29" s="95">
        <f>J29*'aij-UNIFAC (VLE)'!$X16/J$43</f>
        <v>0.16923076923076921</v>
      </c>
      <c r="Q29" s="96">
        <f>K29*'aij-UNIFAC (VLE)'!$X16/K$43</f>
        <v>0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0.14458995318259557</v>
      </c>
      <c r="V29" s="95">
        <v>0.81198973710311972</v>
      </c>
      <c r="W29" s="96">
        <v>1.160967525690739</v>
      </c>
      <c r="X29" s="96">
        <v>0.75768766549455413</v>
      </c>
      <c r="Y29" s="99">
        <v>0.84016052039525224</v>
      </c>
      <c r="Z29" s="99">
        <v>0.77369135021671831</v>
      </c>
      <c r="AA29" s="100">
        <v>0.86280258592826431</v>
      </c>
      <c r="AB29" s="216">
        <f t="shared" si="7"/>
        <v>0.20841491154127423</v>
      </c>
      <c r="AC29" s="217">
        <f t="shared" si="8"/>
        <v>0</v>
      </c>
      <c r="AD29" s="217">
        <f t="shared" si="9"/>
        <v>0</v>
      </c>
      <c r="AE29" s="217">
        <f t="shared" si="10"/>
        <v>0</v>
      </c>
      <c r="AF29" s="217">
        <f t="shared" si="11"/>
        <v>0</v>
      </c>
      <c r="AG29" s="215">
        <f t="shared" si="12"/>
        <v>0.16758173369060481</v>
      </c>
      <c r="AH29" s="95">
        <v>1.2131940034449231</v>
      </c>
      <c r="AI29" s="99">
        <v>0.13223922138243857</v>
      </c>
      <c r="AJ29" s="99">
        <v>1.0149190465993372</v>
      </c>
      <c r="AK29" s="99">
        <v>0.90061819300939439</v>
      </c>
      <c r="AL29" s="99">
        <v>1.2633601353240085</v>
      </c>
      <c r="AM29" s="100">
        <v>1.1205682831579311</v>
      </c>
      <c r="AN29" s="103">
        <f>'aij-UNIFAC (VLE)'!$X16*(1-LN(V29)-AH29)</f>
        <v>-3.2514408359556948E-3</v>
      </c>
      <c r="AO29" s="104">
        <f>'aij-UNIFAC (VLE)'!$X16*(1-LN(W29)-AI29)</f>
        <v>0.4742146512010233</v>
      </c>
      <c r="AP29" s="104">
        <f>'aij-UNIFAC (VLE)'!$X16*(1-LN(X29)-AJ29)</f>
        <v>0.17329288842058199</v>
      </c>
      <c r="AQ29" s="104">
        <f>'aij-UNIFAC (VLE)'!$X16*(1-LN(Y29)-AK29)</f>
        <v>0.18053911701091788</v>
      </c>
      <c r="AR29" s="104">
        <f>'aij-UNIFAC (VLE)'!$X16*(1-LN(Z29)-AL29)</f>
        <v>-4.4733995268256702E-3</v>
      </c>
      <c r="AS29" s="105">
        <f>'aij-UNIFAC (VLE)'!$X16*(1-LN(AA29)-AM29)</f>
        <v>1.7820715557796813E-2</v>
      </c>
    </row>
    <row r="30" spans="1:49" s="72" customFormat="1" ht="11">
      <c r="A30" s="211">
        <v>14</v>
      </c>
      <c r="B30" s="35" t="str">
        <f>'aij-UNIFAC (VLE)'!V17</f>
        <v>OH</v>
      </c>
      <c r="C30" s="57"/>
      <c r="D30" s="57"/>
      <c r="E30" s="57"/>
      <c r="F30" s="57">
        <v>1</v>
      </c>
      <c r="G30" s="57"/>
      <c r="H30" s="83">
        <f t="array" ref="H30">SUM(C30:G30*$C$21:$G$21)</f>
        <v>9.9999999999999995E-21</v>
      </c>
      <c r="I30" s="36" t="str">
        <f t="shared" si="0"/>
        <v>OH</v>
      </c>
      <c r="J30" s="95">
        <f t="shared" si="1"/>
        <v>0</v>
      </c>
      <c r="K30" s="96">
        <f t="shared" si="2"/>
        <v>0</v>
      </c>
      <c r="L30" s="96">
        <f t="shared" si="3"/>
        <v>0</v>
      </c>
      <c r="M30" s="96">
        <f t="shared" si="4"/>
        <v>0.33333333333333331</v>
      </c>
      <c r="N30" s="96">
        <f t="shared" si="5"/>
        <v>0</v>
      </c>
      <c r="O30" s="215">
        <f t="shared" si="6"/>
        <v>1.9615535504119257E-21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0.46367851622874806</v>
      </c>
      <c r="T30" s="96">
        <f>N30*'aij-UNIFAC (VLE)'!$X17/N$43</f>
        <v>0</v>
      </c>
      <c r="U30" s="98">
        <f>O30*'aij-UNIFAC (VLE)'!$X17/O$43</f>
        <v>3.8490603802101839E-21</v>
      </c>
      <c r="V30" s="95">
        <v>4.1817149392090379E-2</v>
      </c>
      <c r="W30" s="96">
        <v>0.43366388915280352</v>
      </c>
      <c r="X30" s="96">
        <v>0.79703479563269386</v>
      </c>
      <c r="Y30" s="99">
        <v>0.48328767127965305</v>
      </c>
      <c r="Z30" s="99">
        <v>3.6562315037278185E-2</v>
      </c>
      <c r="AA30" s="100">
        <v>9.8871924226528546E-2</v>
      </c>
      <c r="AB30" s="216">
        <f t="shared" si="7"/>
        <v>0</v>
      </c>
      <c r="AC30" s="217">
        <f t="shared" si="8"/>
        <v>0</v>
      </c>
      <c r="AD30" s="217">
        <f t="shared" si="9"/>
        <v>0</v>
      </c>
      <c r="AE30" s="217">
        <f t="shared" si="10"/>
        <v>0.95942550117410674</v>
      </c>
      <c r="AF30" s="217">
        <f t="shared" si="11"/>
        <v>0</v>
      </c>
      <c r="AG30" s="215">
        <f t="shared" si="12"/>
        <v>3.8929761004665813E-20</v>
      </c>
      <c r="AH30" s="95">
        <v>0.66180614158608009</v>
      </c>
      <c r="AI30" s="99">
        <v>1.5838136688873363</v>
      </c>
      <c r="AJ30" s="99">
        <v>0.91008080619852705</v>
      </c>
      <c r="AK30" s="99">
        <v>1.3509249013363422</v>
      </c>
      <c r="AL30" s="99">
        <v>0.5918108706562526</v>
      </c>
      <c r="AM30" s="100">
        <v>1.5502886489426237</v>
      </c>
      <c r="AN30" s="103">
        <f>'aij-UNIFAC (VLE)'!$X17*(1-LN(V30)-AH30)</f>
        <v>4.2151711313592779</v>
      </c>
      <c r="AO30" s="104">
        <f>'aij-UNIFAC (VLE)'!$X17*(1-LN(W30)-AI30)</f>
        <v>0.3020061899899007</v>
      </c>
      <c r="AP30" s="104">
        <f>'aij-UNIFAC (VLE)'!$X17*(1-LN(X30)-AJ30)</f>
        <v>0.38013136402445902</v>
      </c>
      <c r="AQ30" s="104">
        <f>'aij-UNIFAC (VLE)'!$X17*(1-LN(Y30)-AK30)</f>
        <v>0.45146197029200469</v>
      </c>
      <c r="AR30" s="104">
        <f>'aij-UNIFAC (VLE)'!$X17*(1-LN(Z30)-AL30)</f>
        <v>4.4603116105873077</v>
      </c>
      <c r="AS30" s="105">
        <f>'aij-UNIFAC (VLE)'!$X17*(1-LN(AA30)-AM30)</f>
        <v>2.1163695745582172</v>
      </c>
    </row>
    <row r="31" spans="1:49" s="72" customFormat="1" ht="11">
      <c r="A31" s="211">
        <v>15</v>
      </c>
      <c r="B31" s="35" t="str">
        <f>'aij-UNIFAC (VLE)'!V18</f>
        <v>CH3OH</v>
      </c>
      <c r="C31" s="57"/>
      <c r="D31" s="57">
        <v>1</v>
      </c>
      <c r="E31" s="57"/>
      <c r="F31" s="57"/>
      <c r="G31" s="57"/>
      <c r="H31" s="83">
        <f t="array" ref="H31">SUM(C31:G31*$C$21:$G$21)</f>
        <v>0.317</v>
      </c>
      <c r="I31" s="36" t="str">
        <f t="shared" si="0"/>
        <v>CH3OH</v>
      </c>
      <c r="J31" s="95">
        <f t="shared" si="1"/>
        <v>0</v>
      </c>
      <c r="K31" s="96">
        <f t="shared" si="2"/>
        <v>1</v>
      </c>
      <c r="L31" s="96">
        <f t="shared" si="3"/>
        <v>0</v>
      </c>
      <c r="M31" s="96">
        <f t="shared" si="4"/>
        <v>0</v>
      </c>
      <c r="N31" s="96">
        <f t="shared" si="5"/>
        <v>0</v>
      </c>
      <c r="O31" s="215">
        <f t="shared" si="6"/>
        <v>6.2181247548058052E-2</v>
      </c>
      <c r="P31" s="95">
        <f>J31*'aij-UNIFAC (VLE)'!$X18/J$43</f>
        <v>0</v>
      </c>
      <c r="Q31" s="96">
        <f>K31*'aij-UNIFAC (VLE)'!$X18/K$43</f>
        <v>1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0.14560482210284431</v>
      </c>
      <c r="V31" s="95">
        <v>0.10253150345248223</v>
      </c>
      <c r="W31" s="96">
        <v>1</v>
      </c>
      <c r="X31" s="96">
        <v>0.20118381498930404</v>
      </c>
      <c r="Y31" s="99">
        <v>0.78612463187156723</v>
      </c>
      <c r="Z31" s="99">
        <v>9.6479931281565207E-2</v>
      </c>
      <c r="AA31" s="100">
        <v>0.23320724423519074</v>
      </c>
      <c r="AB31" s="216">
        <f t="shared" si="7"/>
        <v>0</v>
      </c>
      <c r="AC31" s="217">
        <f t="shared" si="8"/>
        <v>1</v>
      </c>
      <c r="AD31" s="217">
        <f t="shared" si="9"/>
        <v>0</v>
      </c>
      <c r="AE31" s="217">
        <f t="shared" si="10"/>
        <v>0</v>
      </c>
      <c r="AF31" s="217">
        <f t="shared" si="11"/>
        <v>0</v>
      </c>
      <c r="AG31" s="215">
        <f t="shared" si="12"/>
        <v>0.62435805791693622</v>
      </c>
      <c r="AH31" s="95">
        <v>0.99444205041152611</v>
      </c>
      <c r="AI31" s="99">
        <v>1</v>
      </c>
      <c r="AJ31" s="99">
        <v>2.4783907121321302</v>
      </c>
      <c r="AK31" s="99">
        <v>1.0419598875483618</v>
      </c>
      <c r="AL31" s="99">
        <v>0.94613046106461629</v>
      </c>
      <c r="AM31" s="100">
        <v>1.4707740274203962</v>
      </c>
      <c r="AN31" s="103">
        <f>'aij-UNIFAC (VLE)'!$X18*(1-LN(V31)-AH31)</f>
        <v>3.2694609570889899</v>
      </c>
      <c r="AO31" s="104">
        <f>'aij-UNIFAC (VLE)'!$X18*(1-LN(W31)-AI31)</f>
        <v>0</v>
      </c>
      <c r="AP31" s="104">
        <f>'aij-UNIFAC (VLE)'!$X18*(1-LN(X31)-AJ31)</f>
        <v>0.1792084623391331</v>
      </c>
      <c r="AQ31" s="104">
        <f>'aij-UNIFAC (VLE)'!$X18*(1-LN(Y31)-AK31)</f>
        <v>0.28450982709282269</v>
      </c>
      <c r="AR31" s="104">
        <f>'aij-UNIFAC (VLE)'!$X18*(1-LN(Z31)-AL31)</f>
        <v>3.4257589895827376</v>
      </c>
      <c r="AS31" s="105">
        <f>'aij-UNIFAC (VLE)'!$X18*(1-LN(AA31)-AM31)</f>
        <v>1.4105969457913539</v>
      </c>
    </row>
    <row r="32" spans="1:49" s="72" customFormat="1" ht="13">
      <c r="A32" s="211">
        <v>16</v>
      </c>
      <c r="B32" s="35" t="str">
        <f>'aij-UNIFAC (VLE)'!V19</f>
        <v>H2O</v>
      </c>
      <c r="C32" s="57"/>
      <c r="D32" s="57"/>
      <c r="E32" s="57"/>
      <c r="F32" s="57"/>
      <c r="G32" s="57"/>
      <c r="H32" s="83">
        <f t="array" ref="H32">SUM(C32:G32*$C$21:$G$21)</f>
        <v>0</v>
      </c>
      <c r="I32" s="36" t="str">
        <f t="shared" si="0"/>
        <v>H2O</v>
      </c>
      <c r="J32" s="95">
        <f t="shared" si="1"/>
        <v>0</v>
      </c>
      <c r="K32" s="96">
        <f t="shared" si="2"/>
        <v>0</v>
      </c>
      <c r="L32" s="96">
        <f t="shared" si="3"/>
        <v>0</v>
      </c>
      <c r="M32" s="96">
        <f t="shared" si="4"/>
        <v>0</v>
      </c>
      <c r="N32" s="96">
        <f t="shared" si="5"/>
        <v>0</v>
      </c>
      <c r="O32" s="215">
        <f t="shared" si="6"/>
        <v>0</v>
      </c>
      <c r="P32" s="95">
        <f>J32*'aij-UNIFAC (VLE)'!$X19/J$43</f>
        <v>0</v>
      </c>
      <c r="Q32" s="96">
        <f>K32*'aij-UNIFAC (VLE)'!$X19/K$43</f>
        <v>0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0</v>
      </c>
      <c r="V32" s="95">
        <v>9.9917372906586852E-3</v>
      </c>
      <c r="W32" s="96">
        <v>1.8350596259368412</v>
      </c>
      <c r="X32" s="96">
        <v>0.59144182361423447</v>
      </c>
      <c r="Y32" s="99">
        <v>0.14812693782011668</v>
      </c>
      <c r="Z32" s="99">
        <v>1.2027090151659613E-2</v>
      </c>
      <c r="AA32" s="100">
        <v>0.27573042254259977</v>
      </c>
      <c r="AB32" s="216">
        <f t="shared" si="7"/>
        <v>0</v>
      </c>
      <c r="AC32" s="217">
        <f t="shared" si="8"/>
        <v>0</v>
      </c>
      <c r="AD32" s="217">
        <f t="shared" si="9"/>
        <v>0</v>
      </c>
      <c r="AE32" s="217">
        <f t="shared" si="10"/>
        <v>0</v>
      </c>
      <c r="AF32" s="217">
        <f t="shared" si="11"/>
        <v>0</v>
      </c>
      <c r="AG32" s="215">
        <f t="shared" si="12"/>
        <v>0</v>
      </c>
      <c r="AH32" s="95">
        <v>0.34950914703473401</v>
      </c>
      <c r="AI32" s="99">
        <v>0.37858178248020219</v>
      </c>
      <c r="AJ32" s="99">
        <v>1.2138626557274934</v>
      </c>
      <c r="AK32" s="99">
        <v>2.3106898820211139</v>
      </c>
      <c r="AL32" s="99">
        <v>0.36560384210985092</v>
      </c>
      <c r="AM32" s="100">
        <v>0.535490385229489</v>
      </c>
      <c r="AN32" s="103">
        <f>'aij-UNIFAC (VLE)'!$X19*(1-LN(V32)-AH32)</f>
        <v>7.3590827120124604</v>
      </c>
      <c r="AO32" s="104">
        <f>'aij-UNIFAC (VLE)'!$X19*(1-LN(W32)-AI32)</f>
        <v>2.0077739979670647E-2</v>
      </c>
      <c r="AP32" s="104">
        <f>'aij-UNIFAC (VLE)'!$X19*(1-LN(X32)-AJ32)</f>
        <v>0.43586101813019301</v>
      </c>
      <c r="AQ32" s="104">
        <f>'aij-UNIFAC (VLE)'!$X19*(1-LN(Y32)-AK32)</f>
        <v>0.83859412395821831</v>
      </c>
      <c r="AR32" s="104">
        <f>'aij-UNIFAC (VLE)'!$X19*(1-LN(Z32)-AL32)</f>
        <v>7.0769857463187211</v>
      </c>
      <c r="AS32" s="105">
        <f>'aij-UNIFAC (VLE)'!$X19*(1-LN(AA32)-AM32)</f>
        <v>2.4539777293711529</v>
      </c>
      <c r="AT32" s="202"/>
      <c r="AU32" s="202"/>
    </row>
    <row r="33" spans="1:110" s="72" customFormat="1" ht="13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0"/>
        <v>ACOH</v>
      </c>
      <c r="J33" s="95">
        <f t="shared" si="1"/>
        <v>0</v>
      </c>
      <c r="K33" s="96">
        <f t="shared" si="2"/>
        <v>0</v>
      </c>
      <c r="L33" s="96">
        <f t="shared" si="3"/>
        <v>0</v>
      </c>
      <c r="M33" s="96">
        <f t="shared" si="4"/>
        <v>0</v>
      </c>
      <c r="N33" s="96">
        <f t="shared" si="5"/>
        <v>0</v>
      </c>
      <c r="O33" s="215">
        <f t="shared" si="6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1.8201234125721458E-2</v>
      </c>
      <c r="W33" s="96">
        <v>1.4064987657394561</v>
      </c>
      <c r="X33" s="96">
        <v>0.49229570390838873</v>
      </c>
      <c r="Y33" s="99">
        <v>1.1140426653864903</v>
      </c>
      <c r="Z33" s="99">
        <v>1.1436973211762848E-2</v>
      </c>
      <c r="AA33" s="100">
        <v>0.22034404924215717</v>
      </c>
      <c r="AB33" s="216">
        <f t="shared" si="7"/>
        <v>0</v>
      </c>
      <c r="AC33" s="217">
        <f t="shared" si="8"/>
        <v>0</v>
      </c>
      <c r="AD33" s="217">
        <f t="shared" si="9"/>
        <v>0</v>
      </c>
      <c r="AE33" s="217">
        <f t="shared" si="10"/>
        <v>0</v>
      </c>
      <c r="AF33" s="217">
        <f t="shared" si="11"/>
        <v>0</v>
      </c>
      <c r="AG33" s="215">
        <f t="shared" si="12"/>
        <v>0</v>
      </c>
      <c r="AH33" s="95">
        <v>0.40723826398065405</v>
      </c>
      <c r="AI33" s="99">
        <v>2.4338762681067143</v>
      </c>
      <c r="AJ33" s="99">
        <v>0.52959308454671894</v>
      </c>
      <c r="AK33" s="99">
        <v>4.6257138623644272</v>
      </c>
      <c r="AL33" s="99">
        <v>0.39651645716218614</v>
      </c>
      <c r="AM33" s="100">
        <v>1.8666780679271748</v>
      </c>
      <c r="AN33" s="103">
        <f>'aij-UNIFAC (VLE)'!$X20*(1-LN(V33)-AH33)</f>
        <v>3.1273387775962229</v>
      </c>
      <c r="AO33" s="104">
        <f>'aij-UNIFAC (VLE)'!$X20*(1-LN(W33)-AI33)</f>
        <v>-1.2069862228693324</v>
      </c>
      <c r="AP33" s="104">
        <f>'aij-UNIFAC (VLE)'!$X20*(1-LN(X33)-AJ33)</f>
        <v>0.80177619131160927</v>
      </c>
      <c r="AQ33" s="104">
        <f>'aij-UNIFAC (VLE)'!$X20*(1-LN(Y33)-AK33)</f>
        <v>-2.5389223256359856</v>
      </c>
      <c r="AR33" s="104">
        <f>'aij-UNIFAC (VLE)'!$X20*(1-LN(Z33)-AL33)</f>
        <v>3.4505834661815333</v>
      </c>
      <c r="AS33" s="105">
        <f>'aij-UNIFAC (VLE)'!$X20*(1-LN(AA33)-AM33)</f>
        <v>0.43920317772551276</v>
      </c>
      <c r="AT33" s="202"/>
      <c r="AU33" s="202"/>
    </row>
    <row r="34" spans="1:110" s="72" customFormat="1" ht="13">
      <c r="A34" s="211">
        <v>18</v>
      </c>
      <c r="B34" s="35" t="str">
        <f>'aij-UNIFAC (VLE)'!V21</f>
        <v>CH3CO</v>
      </c>
      <c r="C34" s="57"/>
      <c r="D34" s="57"/>
      <c r="E34" s="57"/>
      <c r="F34" s="57"/>
      <c r="G34" s="57"/>
      <c r="H34" s="83">
        <f t="array" ref="H34">SUM(C34:G34*$C$21:$G$21)</f>
        <v>0</v>
      </c>
      <c r="I34" s="36" t="str">
        <f t="shared" si="0"/>
        <v>CH3CO</v>
      </c>
      <c r="J34" s="95">
        <f t="shared" si="1"/>
        <v>0</v>
      </c>
      <c r="K34" s="96">
        <f t="shared" si="2"/>
        <v>0</v>
      </c>
      <c r="L34" s="96">
        <f t="shared" si="3"/>
        <v>0</v>
      </c>
      <c r="M34" s="96">
        <f t="shared" si="4"/>
        <v>0</v>
      </c>
      <c r="N34" s="96">
        <f t="shared" si="5"/>
        <v>0</v>
      </c>
      <c r="O34" s="215">
        <f t="shared" si="6"/>
        <v>0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</v>
      </c>
      <c r="T34" s="96">
        <f>N34*'aij-UNIFAC (VLE)'!$X21/N$43</f>
        <v>0</v>
      </c>
      <c r="U34" s="98">
        <f>O34*'aij-UNIFAC (VLE)'!$X21/O$43</f>
        <v>0</v>
      </c>
      <c r="V34" s="95">
        <v>0.36963380805147561</v>
      </c>
      <c r="W34" s="96">
        <v>0.92454787531439342</v>
      </c>
      <c r="X34" s="96">
        <v>1.379826956003839</v>
      </c>
      <c r="Y34" s="99">
        <v>0.45834648710020293</v>
      </c>
      <c r="Z34" s="99">
        <v>0.20233036858676409</v>
      </c>
      <c r="AA34" s="100">
        <v>0.45043197209765862</v>
      </c>
      <c r="AB34" s="216">
        <f t="shared" si="7"/>
        <v>0</v>
      </c>
      <c r="AC34" s="217">
        <f t="shared" si="8"/>
        <v>0</v>
      </c>
      <c r="AD34" s="217">
        <f t="shared" si="9"/>
        <v>0</v>
      </c>
      <c r="AE34" s="217">
        <f t="shared" si="10"/>
        <v>0</v>
      </c>
      <c r="AF34" s="217">
        <f t="shared" si="11"/>
        <v>0</v>
      </c>
      <c r="AG34" s="215">
        <f t="shared" si="12"/>
        <v>0</v>
      </c>
      <c r="AH34" s="95">
        <v>0.78815681819439276</v>
      </c>
      <c r="AI34" s="99">
        <v>0.69448717293817275</v>
      </c>
      <c r="AJ34" s="99">
        <v>0.79416829696741542</v>
      </c>
      <c r="AK34" s="99">
        <v>1.1573204488162152</v>
      </c>
      <c r="AL34" s="99">
        <v>0.91415651555016475</v>
      </c>
      <c r="AM34" s="100">
        <v>1.1125734915312699</v>
      </c>
      <c r="AN34" s="103">
        <f>'aij-UNIFAC (VLE)'!$X21*(1-LN(V34)-AH34)</f>
        <v>1.7961434519657333</v>
      </c>
      <c r="AO34" s="104">
        <f>'aij-UNIFAC (VLE)'!$X21*(1-LN(W34)-AI34)</f>
        <v>0.57133734794587931</v>
      </c>
      <c r="AP34" s="104">
        <f>'aij-UNIFAC (VLE)'!$X21*(1-LN(X34)-AJ34)</f>
        <v>-0.1727960743819662</v>
      </c>
      <c r="AQ34" s="104">
        <f>'aij-UNIFAC (VLE)'!$X21*(1-LN(Y34)-AK34)</f>
        <v>0.92674040210597541</v>
      </c>
      <c r="AR34" s="104">
        <f>'aij-UNIFAC (VLE)'!$X21*(1-LN(Z34)-AL34)</f>
        <v>2.50534100793028</v>
      </c>
      <c r="AS34" s="105">
        <f>'aij-UNIFAC (VLE)'!$X21*(1-LN(AA34)-AM34)</f>
        <v>1.0192423939806579</v>
      </c>
      <c r="AT34" s="202"/>
      <c r="AU34" s="202"/>
    </row>
    <row r="35" spans="1:110" s="72" customFormat="1" ht="13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0"/>
        <v>CHO</v>
      </c>
      <c r="J35" s="95">
        <f t="shared" si="1"/>
        <v>0</v>
      </c>
      <c r="K35" s="96">
        <f t="shared" si="2"/>
        <v>0</v>
      </c>
      <c r="L35" s="96">
        <f t="shared" si="3"/>
        <v>0</v>
      </c>
      <c r="M35" s="96">
        <f t="shared" si="4"/>
        <v>0</v>
      </c>
      <c r="N35" s="96">
        <f t="shared" si="5"/>
        <v>0</v>
      </c>
      <c r="O35" s="215">
        <f t="shared" si="6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0.10943143874528569</v>
      </c>
      <c r="W35" s="96">
        <v>0.35783952917999828</v>
      </c>
      <c r="X35" s="96">
        <v>0.87122069532215618</v>
      </c>
      <c r="Y35" s="99">
        <v>0.97325381216471885</v>
      </c>
      <c r="Z35" s="99">
        <v>0.10324307431131721</v>
      </c>
      <c r="AA35" s="100">
        <v>0.1456008545619393</v>
      </c>
      <c r="AB35" s="216">
        <f t="shared" si="7"/>
        <v>0</v>
      </c>
      <c r="AC35" s="217">
        <f t="shared" si="8"/>
        <v>0</v>
      </c>
      <c r="AD35" s="217">
        <f t="shared" si="9"/>
        <v>0</v>
      </c>
      <c r="AE35" s="217">
        <f t="shared" si="10"/>
        <v>0</v>
      </c>
      <c r="AF35" s="217">
        <f t="shared" si="11"/>
        <v>0</v>
      </c>
      <c r="AG35" s="215">
        <f t="shared" si="12"/>
        <v>0</v>
      </c>
      <c r="AH35" s="95">
        <v>0.29191449789625684</v>
      </c>
      <c r="AI35" s="99">
        <v>3.1300105998451251</v>
      </c>
      <c r="AJ35" s="99">
        <v>0.30832776533852768</v>
      </c>
      <c r="AK35" s="99">
        <v>0.28404404164935038</v>
      </c>
      <c r="AL35" s="99">
        <v>0.1833925922828181</v>
      </c>
      <c r="AM35" s="100">
        <v>2.1980421157606269</v>
      </c>
      <c r="AN35" s="103">
        <f>'aij-UNIFAC (VLE)'!$X22*(1-LN(V35)-AH35)</f>
        <v>2.7686743450889684</v>
      </c>
      <c r="AO35" s="104">
        <f>'aij-UNIFAC (VLE)'!$X22*(1-LN(W35)-AI35)</f>
        <v>-1.0450182861175423</v>
      </c>
      <c r="AP35" s="104">
        <f>'aij-UNIFAC (VLE)'!$X22*(1-LN(X35)-AJ35)</f>
        <v>0.78639651360386631</v>
      </c>
      <c r="AQ35" s="104">
        <f>'aij-UNIFAC (VLE)'!$X22*(1-LN(Y35)-AK35)</f>
        <v>0.70442688454378888</v>
      </c>
      <c r="AR35" s="104">
        <f>'aij-UNIFAC (VLE)'!$X22*(1-LN(Z35)-AL35)</f>
        <v>2.9267381542281141</v>
      </c>
      <c r="AS35" s="105">
        <f>'aij-UNIFAC (VLE)'!$X22*(1-LN(AA35)-AM35)</f>
        <v>0.69094426200399284</v>
      </c>
      <c r="AT35" s="202"/>
      <c r="AU35" s="202"/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0"/>
        <v>CH3COO</v>
      </c>
      <c r="J36" s="95">
        <f t="shared" si="1"/>
        <v>0</v>
      </c>
      <c r="K36" s="96">
        <f t="shared" si="2"/>
        <v>0</v>
      </c>
      <c r="L36" s="96">
        <f t="shared" si="3"/>
        <v>0</v>
      </c>
      <c r="M36" s="96">
        <f t="shared" si="4"/>
        <v>0</v>
      </c>
      <c r="N36" s="96">
        <f t="shared" si="5"/>
        <v>0</v>
      </c>
      <c r="O36" s="215">
        <f t="shared" si="6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0.38141378797184966</v>
      </c>
      <c r="W36" s="96">
        <v>1.0366092562639033</v>
      </c>
      <c r="X36" s="96">
        <v>1.3509551951326486</v>
      </c>
      <c r="Y36" s="99">
        <v>0.57656284386655121</v>
      </c>
      <c r="Z36" s="99">
        <v>0.45910918816932877</v>
      </c>
      <c r="AA36" s="100">
        <v>0.47681340757510393</v>
      </c>
      <c r="AB36" s="216">
        <f t="shared" si="7"/>
        <v>0</v>
      </c>
      <c r="AC36" s="217">
        <f t="shared" si="8"/>
        <v>0</v>
      </c>
      <c r="AD36" s="217">
        <f t="shared" si="9"/>
        <v>0</v>
      </c>
      <c r="AE36" s="217">
        <f t="shared" si="10"/>
        <v>0</v>
      </c>
      <c r="AF36" s="217">
        <f t="shared" si="11"/>
        <v>0</v>
      </c>
      <c r="AG36" s="215">
        <f t="shared" si="12"/>
        <v>0</v>
      </c>
      <c r="AH36" s="95">
        <v>0.90975624811795908</v>
      </c>
      <c r="AI36" s="99">
        <v>0.43293724071513062</v>
      </c>
      <c r="AJ36" s="99">
        <v>0.61819394101184233</v>
      </c>
      <c r="AK36" s="99">
        <v>0.87138229723735938</v>
      </c>
      <c r="AL36" s="99">
        <v>0.68042267930686384</v>
      </c>
      <c r="AM36" s="100">
        <v>1.0354846262946029</v>
      </c>
      <c r="AN36" s="103">
        <f>'aij-UNIFAC (VLE)'!$X23*(1-LN(V36)-AH36)</f>
        <v>1.821509315831604</v>
      </c>
      <c r="AO36" s="104">
        <f>'aij-UNIFAC (VLE)'!$X23*(1-LN(W36)-AI36)</f>
        <v>0.91775411096560267</v>
      </c>
      <c r="AP36" s="104">
        <f>'aij-UNIFAC (VLE)'!$X23*(1-LN(X36)-AJ36)</f>
        <v>0.13995791674775307</v>
      </c>
      <c r="AQ36" s="104">
        <f>'aij-UNIFAC (VLE)'!$X23*(1-LN(Y36)-AK36)</f>
        <v>1.1738107676181284</v>
      </c>
      <c r="AR36" s="104">
        <f>'aij-UNIFAC (VLE)'!$X23*(1-LN(Z36)-AL36)</f>
        <v>1.8974209567953384</v>
      </c>
      <c r="AS36" s="105">
        <f>'aij-UNIFAC (VLE)'!$X23*(1-LN(AA36)-AM36)</f>
        <v>1.2184912812974804</v>
      </c>
      <c r="AT36" s="202"/>
      <c r="AU36" s="202"/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0"/>
        <v>CH2NH2</v>
      </c>
      <c r="J37" s="95">
        <f t="shared" si="1"/>
        <v>0</v>
      </c>
      <c r="K37" s="96">
        <f t="shared" si="2"/>
        <v>0</v>
      </c>
      <c r="L37" s="96">
        <f t="shared" si="3"/>
        <v>0</v>
      </c>
      <c r="M37" s="96">
        <f t="shared" si="4"/>
        <v>0</v>
      </c>
      <c r="N37" s="96">
        <f t="shared" si="5"/>
        <v>0</v>
      </c>
      <c r="O37" s="215">
        <f t="shared" si="6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0.38223706732415363</v>
      </c>
      <c r="W37" s="96">
        <v>0.29966259967757253</v>
      </c>
      <c r="X37" s="96">
        <v>0.61154364936476036</v>
      </c>
      <c r="Y37" s="99">
        <v>0.59469427246946549</v>
      </c>
      <c r="Z37" s="99">
        <v>0.26898559952503881</v>
      </c>
      <c r="AA37" s="100">
        <v>0.37021382665223618</v>
      </c>
      <c r="AB37" s="216">
        <f t="shared" si="7"/>
        <v>0</v>
      </c>
      <c r="AC37" s="217">
        <f t="shared" si="8"/>
        <v>0</v>
      </c>
      <c r="AD37" s="217">
        <f t="shared" si="9"/>
        <v>0</v>
      </c>
      <c r="AE37" s="217">
        <f t="shared" si="10"/>
        <v>0</v>
      </c>
      <c r="AF37" s="217">
        <f t="shared" si="11"/>
        <v>0</v>
      </c>
      <c r="AG37" s="215">
        <f t="shared" si="12"/>
        <v>0</v>
      </c>
      <c r="AH37" s="95">
        <v>0.95805317039128113</v>
      </c>
      <c r="AI37" s="99">
        <v>5.0310550649808627</v>
      </c>
      <c r="AJ37" s="99">
        <v>1.7388038421627621</v>
      </c>
      <c r="AK37" s="99">
        <v>2.8988474463340026</v>
      </c>
      <c r="AL37" s="99">
        <v>1.1076386654561763</v>
      </c>
      <c r="AM37" s="100">
        <v>3.9663264903378779</v>
      </c>
      <c r="AN37" s="103">
        <f>'aij-UNIFAC (VLE)'!$X24*(1-LN(V37)-AH37)</f>
        <v>1.240525116367083</v>
      </c>
      <c r="AO37" s="104">
        <f>'aij-UNIFAC (VLE)'!$X24*(1-LN(W37)-AI37)</f>
        <v>-3.4928828025601835</v>
      </c>
      <c r="AP37" s="104">
        <f>'aij-UNIFAC (VLE)'!$X24*(1-LN(X37)-AJ37)</f>
        <v>-0.30533513215984787</v>
      </c>
      <c r="AQ37" s="104">
        <f>'aij-UNIFAC (VLE)'!$X24*(1-LN(Y37)-AK37)</f>
        <v>-1.7046165617425948</v>
      </c>
      <c r="AR37" s="104">
        <f>'aij-UNIFAC (VLE)'!$X24*(1-LN(Z37)-AL37)</f>
        <v>1.4899470381394662</v>
      </c>
      <c r="AS37" s="105">
        <f>'aij-UNIFAC (VLE)'!$X24*(1-LN(AA37)-AM37)</f>
        <v>-2.4381978224849985</v>
      </c>
      <c r="AT37" s="202"/>
      <c r="AU37" s="202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0"/>
        <v>ACNH2</v>
      </c>
      <c r="J38" s="95">
        <f t="shared" si="1"/>
        <v>0</v>
      </c>
      <c r="K38" s="96">
        <f t="shared" si="2"/>
        <v>0</v>
      </c>
      <c r="L38" s="96">
        <f t="shared" si="3"/>
        <v>0</v>
      </c>
      <c r="M38" s="96">
        <f t="shared" si="4"/>
        <v>0</v>
      </c>
      <c r="N38" s="96">
        <f t="shared" si="5"/>
        <v>0</v>
      </c>
      <c r="O38" s="215">
        <f t="shared" si="6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5.6114009068667398E-2</v>
      </c>
      <c r="W38" s="217">
        <v>0.19350308024444521</v>
      </c>
      <c r="X38" s="217">
        <v>0.11366519662625912</v>
      </c>
      <c r="Y38" s="217">
        <v>0.57720289740292297</v>
      </c>
      <c r="Z38" s="217">
        <v>4.5591092046142444E-2</v>
      </c>
      <c r="AA38" s="215">
        <v>7.6118520336091552E-2</v>
      </c>
      <c r="AB38" s="216">
        <f t="shared" si="7"/>
        <v>0</v>
      </c>
      <c r="AC38" s="217">
        <f t="shared" si="8"/>
        <v>0</v>
      </c>
      <c r="AD38" s="217">
        <f t="shared" si="9"/>
        <v>0</v>
      </c>
      <c r="AE38" s="217">
        <f t="shared" si="10"/>
        <v>0</v>
      </c>
      <c r="AF38" s="217">
        <f t="shared" si="11"/>
        <v>0</v>
      </c>
      <c r="AG38" s="215">
        <f t="shared" si="12"/>
        <v>0</v>
      </c>
      <c r="AH38" s="216">
        <v>3.3572314766660477E-2</v>
      </c>
      <c r="AI38" s="217">
        <v>1.4860317927754383</v>
      </c>
      <c r="AJ38" s="217">
        <v>3.3791081038765491</v>
      </c>
      <c r="AK38" s="217">
        <v>1.031586151716448</v>
      </c>
      <c r="AL38" s="217">
        <v>2.1922873852175999E-2</v>
      </c>
      <c r="AM38" s="215">
        <v>0.95589524728846331</v>
      </c>
      <c r="AN38" s="103">
        <f>'aij-UNIFAC (VLE)'!$X25*(1-LN(V38)-AH38)</f>
        <v>3.1389867329427901</v>
      </c>
      <c r="AO38" s="104">
        <f>'aij-UNIFAC (VLE)'!$X25*(1-LN(W38)-AI38)</f>
        <v>0.94364692511469539</v>
      </c>
      <c r="AP38" s="104">
        <f>'aij-UNIFAC (VLE)'!$X25*(1-LN(X38)-AJ38)</f>
        <v>-0.16696182570381171</v>
      </c>
      <c r="AQ38" s="104">
        <f>'aij-UNIFAC (VLE)'!$X25*(1-LN(Y38)-AK38)</f>
        <v>0.42266782898835858</v>
      </c>
      <c r="AR38" s="104">
        <f>'aij-UNIFAC (VLE)'!$X25*(1-LN(Z38)-AL38)</f>
        <v>3.3179539669674805</v>
      </c>
      <c r="AS38" s="105">
        <f>'aij-UNIFAC (VLE)'!$X25*(1-LN(AA38)-AM38)</f>
        <v>2.137567837267691</v>
      </c>
      <c r="AT38" s="210"/>
      <c r="AU38" s="210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0"/>
        <v>COOH</v>
      </c>
      <c r="J39" s="95">
        <f t="shared" si="1"/>
        <v>0</v>
      </c>
      <c r="K39" s="96">
        <f t="shared" si="2"/>
        <v>0</v>
      </c>
      <c r="L39" s="96">
        <f t="shared" si="3"/>
        <v>0.33333333333333331</v>
      </c>
      <c r="M39" s="96">
        <f t="shared" si="4"/>
        <v>0</v>
      </c>
      <c r="N39" s="96">
        <f t="shared" si="5"/>
        <v>0</v>
      </c>
      <c r="O39" s="215">
        <f t="shared" si="6"/>
        <v>1.9615535504119257E-21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3.9260415878143874E-21</v>
      </c>
      <c r="V39" s="216">
        <v>9.8819372460992497E-2</v>
      </c>
      <c r="W39" s="217">
        <v>1.9689714893787695</v>
      </c>
      <c r="X39" s="217">
        <v>0.52601037662653871</v>
      </c>
      <c r="Y39" s="217">
        <v>0.29581053808429919</v>
      </c>
      <c r="Z39" s="217">
        <v>0.1080252908851002</v>
      </c>
      <c r="AA39" s="215">
        <v>0.37112253875006318</v>
      </c>
      <c r="AB39" s="216">
        <f t="shared" si="7"/>
        <v>0</v>
      </c>
      <c r="AC39" s="217">
        <f t="shared" si="8"/>
        <v>0</v>
      </c>
      <c r="AD39" s="217">
        <f t="shared" si="9"/>
        <v>0.89086917801564847</v>
      </c>
      <c r="AE39" s="217">
        <f t="shared" si="10"/>
        <v>0</v>
      </c>
      <c r="AF39" s="217">
        <f t="shared" si="11"/>
        <v>0</v>
      </c>
      <c r="AG39" s="215">
        <f t="shared" si="12"/>
        <v>1.0578828224869484E-20</v>
      </c>
      <c r="AH39" s="216">
        <v>0.43035911370398738</v>
      </c>
      <c r="AI39" s="217">
        <v>0.31991665043566153</v>
      </c>
      <c r="AJ39" s="217">
        <v>1.156750960446602</v>
      </c>
      <c r="AK39" s="217">
        <v>1.8218302610282484</v>
      </c>
      <c r="AL39" s="217">
        <v>0.34731560710181775</v>
      </c>
      <c r="AM39" s="215">
        <v>0.56296720714600756</v>
      </c>
      <c r="AN39" s="103">
        <f>'aij-UNIFAC (VLE)'!$X26*(1-LN(V39)-AH39)</f>
        <v>3.5301414626984382</v>
      </c>
      <c r="AO39" s="104">
        <f>'aij-UNIFAC (VLE)'!$X26*(1-LN(W39)-AI39)</f>
        <v>3.148164424858576E-3</v>
      </c>
      <c r="AP39" s="104">
        <f>'aij-UNIFAC (VLE)'!$X26*(1-LN(X39)-AJ39)</f>
        <v>0.5944764553642069</v>
      </c>
      <c r="AQ39" s="104">
        <f>'aij-UNIFAC (VLE)'!$X26*(1-LN(Y39)-AK39)</f>
        <v>0.48495595134754038</v>
      </c>
      <c r="AR39" s="104">
        <f>'aij-UNIFAC (VLE)'!$X26*(1-LN(Z39)-AL39)</f>
        <v>3.5227629399058658</v>
      </c>
      <c r="AS39" s="105">
        <f>'aij-UNIFAC (VLE)'!$X26*(1-LN(AA39)-AM39)</f>
        <v>1.748185063259206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0"/>
        <v>CCL2</v>
      </c>
      <c r="J40" s="95">
        <f t="shared" si="1"/>
        <v>0</v>
      </c>
      <c r="K40" s="96">
        <f t="shared" si="2"/>
        <v>0</v>
      </c>
      <c r="L40" s="96">
        <f t="shared" si="3"/>
        <v>0</v>
      </c>
      <c r="M40" s="96">
        <f t="shared" si="4"/>
        <v>0</v>
      </c>
      <c r="N40" s="96">
        <f t="shared" si="5"/>
        <v>0</v>
      </c>
      <c r="O40" s="215">
        <f t="shared" si="6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0.93926474424588247</v>
      </c>
      <c r="W40" s="217">
        <v>1.4102777693888271</v>
      </c>
      <c r="X40" s="217">
        <v>0.98812070393732288</v>
      </c>
      <c r="Y40" s="217">
        <v>0.82033522259938541</v>
      </c>
      <c r="Z40" s="217">
        <v>0.83500971160986082</v>
      </c>
      <c r="AA40" s="215">
        <v>1.0078465119799436</v>
      </c>
      <c r="AB40" s="216">
        <f t="shared" si="7"/>
        <v>0</v>
      </c>
      <c r="AC40" s="217">
        <f t="shared" si="8"/>
        <v>0</v>
      </c>
      <c r="AD40" s="217">
        <f t="shared" si="9"/>
        <v>0</v>
      </c>
      <c r="AE40" s="217">
        <f t="shared" si="10"/>
        <v>0</v>
      </c>
      <c r="AF40" s="217">
        <f t="shared" si="11"/>
        <v>0</v>
      </c>
      <c r="AG40" s="215">
        <f t="shared" si="12"/>
        <v>0</v>
      </c>
      <c r="AH40" s="216">
        <v>0.83933678988178551</v>
      </c>
      <c r="AI40" s="217">
        <v>0.10573116247022901</v>
      </c>
      <c r="AJ40" s="217">
        <v>0.82682065592221032</v>
      </c>
      <c r="AK40" s="217">
        <v>0.75352463486109678</v>
      </c>
      <c r="AL40" s="217">
        <v>0.89192613295238909</v>
      </c>
      <c r="AM40" s="215">
        <v>0.78503179947006851</v>
      </c>
      <c r="AN40" s="103">
        <f>'aij-UNIFAC (VLE)'!$X27*(1-LN(V40)-AH40)</f>
        <v>0.32336896275733029</v>
      </c>
      <c r="AO40" s="104">
        <f>'aij-UNIFAC (VLE)'!$X27*(1-LN(W40)-AI40)</f>
        <v>0.79709815750782398</v>
      </c>
      <c r="AP40" s="104">
        <f>'aij-UNIFAC (VLE)'!$X27*(1-LN(X40)-AJ40)</f>
        <v>0.26806789653028107</v>
      </c>
      <c r="AQ40" s="104">
        <f>'aij-UNIFAC (VLE)'!$X27*(1-LN(Y40)-AK40)</f>
        <v>0.64366145490452487</v>
      </c>
      <c r="AR40" s="104">
        <f>'aij-UNIFAC (VLE)'!$X27*(1-LN(Z40)-AL40)</f>
        <v>0.41758262475410057</v>
      </c>
      <c r="AS40" s="105">
        <f>'aij-UNIFAC (VLE)'!$X27*(1-LN(AA40)-AM40)</f>
        <v>0.29995654826275092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0"/>
        <v>CCL3</v>
      </c>
      <c r="J41" s="95">
        <f t="shared" si="1"/>
        <v>0</v>
      </c>
      <c r="K41" s="96">
        <f t="shared" si="2"/>
        <v>0</v>
      </c>
      <c r="L41" s="96">
        <f t="shared" si="3"/>
        <v>0</v>
      </c>
      <c r="M41" s="96">
        <f t="shared" si="4"/>
        <v>0</v>
      </c>
      <c r="N41" s="96">
        <f t="shared" si="5"/>
        <v>0</v>
      </c>
      <c r="O41" s="215">
        <f t="shared" si="6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0.98570585349363316</v>
      </c>
      <c r="W41" s="217">
        <v>1.5960788315258969</v>
      </c>
      <c r="X41" s="217">
        <v>0.89909839911663192</v>
      </c>
      <c r="Y41" s="217">
        <v>1.1377292630095184</v>
      </c>
      <c r="Z41" s="217">
        <v>0.9198772799238939</v>
      </c>
      <c r="AA41" s="215">
        <v>1.0745791023764044</v>
      </c>
      <c r="AB41" s="216">
        <f t="shared" si="7"/>
        <v>0</v>
      </c>
      <c r="AC41" s="217">
        <f t="shared" si="8"/>
        <v>0</v>
      </c>
      <c r="AD41" s="217">
        <f t="shared" si="9"/>
        <v>0</v>
      </c>
      <c r="AE41" s="217">
        <f t="shared" si="10"/>
        <v>0</v>
      </c>
      <c r="AF41" s="217">
        <f t="shared" si="11"/>
        <v>0</v>
      </c>
      <c r="AG41" s="215">
        <f t="shared" si="12"/>
        <v>0</v>
      </c>
      <c r="AH41" s="216">
        <v>0.86806815156717465</v>
      </c>
      <c r="AI41" s="217">
        <v>0.11337072616001936</v>
      </c>
      <c r="AJ41" s="217">
        <v>0.84107387810592704</v>
      </c>
      <c r="AK41" s="217">
        <v>0.66453531029506518</v>
      </c>
      <c r="AL41" s="217">
        <v>0.88418195758547224</v>
      </c>
      <c r="AM41" s="215">
        <v>0.81252073864968222</v>
      </c>
      <c r="AN41" s="103">
        <f>'aij-UNIFAC (VLE)'!$X28*(1-LN(V41)-AH41)</f>
        <v>0.31958284252060676</v>
      </c>
      <c r="AO41" s="104">
        <f>'aij-UNIFAC (VLE)'!$X28*(1-LN(W41)-AI41)</f>
        <v>0.91526937213460413</v>
      </c>
      <c r="AP41" s="104">
        <f>'aij-UNIFAC (VLE)'!$X28*(1-LN(X41)-AJ41)</f>
        <v>0.57939099784436188</v>
      </c>
      <c r="AQ41" s="104">
        <f>'aij-UNIFAC (VLE)'!$X28*(1-LN(Y41)-AK41)</f>
        <v>0.45084374958591866</v>
      </c>
      <c r="AR41" s="104">
        <f>'aij-UNIFAC (VLE)'!$X28*(1-LN(Z41)-AL41)</f>
        <v>0.43534338477755152</v>
      </c>
      <c r="AS41" s="105">
        <f>'aij-UNIFAC (VLE)'!$X28*(1-LN(AA41)-AM41)</f>
        <v>0.25236165670221072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0"/>
        <v>CON(CH2)2</v>
      </c>
      <c r="J42" s="107">
        <f t="shared" si="1"/>
        <v>0</v>
      </c>
      <c r="K42" s="108">
        <f t="shared" si="2"/>
        <v>0</v>
      </c>
      <c r="L42" s="108">
        <f t="shared" si="3"/>
        <v>0</v>
      </c>
      <c r="M42" s="108">
        <f t="shared" si="4"/>
        <v>0</v>
      </c>
      <c r="N42" s="108">
        <f t="shared" si="5"/>
        <v>0</v>
      </c>
      <c r="O42" s="218">
        <f t="shared" si="6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0.4007834002914521</v>
      </c>
      <c r="W42" s="220">
        <v>1</v>
      </c>
      <c r="X42" s="220">
        <v>1.5293860873730512</v>
      </c>
      <c r="Y42" s="220">
        <v>1.8231530103147302</v>
      </c>
      <c r="Z42" s="220">
        <v>0.2787207596100813</v>
      </c>
      <c r="AA42" s="218">
        <v>0.48803222669308655</v>
      </c>
      <c r="AB42" s="219">
        <f t="shared" si="7"/>
        <v>0</v>
      </c>
      <c r="AC42" s="220">
        <f t="shared" si="8"/>
        <v>0</v>
      </c>
      <c r="AD42" s="220">
        <f t="shared" si="9"/>
        <v>0</v>
      </c>
      <c r="AE42" s="220">
        <f t="shared" si="10"/>
        <v>0</v>
      </c>
      <c r="AF42" s="220">
        <f t="shared" si="11"/>
        <v>0</v>
      </c>
      <c r="AG42" s="218">
        <f t="shared" si="12"/>
        <v>0</v>
      </c>
      <c r="AH42" s="219">
        <v>0.93251976136969439</v>
      </c>
      <c r="AI42" s="220">
        <v>1</v>
      </c>
      <c r="AJ42" s="220">
        <v>1.8245499330475901</v>
      </c>
      <c r="AK42" s="220">
        <v>0.85752174774019463</v>
      </c>
      <c r="AL42" s="220">
        <v>0.91045405745338392</v>
      </c>
      <c r="AM42" s="218">
        <v>1.4192187060575265</v>
      </c>
      <c r="AN42" s="115">
        <f>'aij-UNIFAC (VLE)'!$X29*(1-LN(V42)-AH42)</f>
        <v>1.7790476658699921</v>
      </c>
      <c r="AO42" s="116">
        <f>'aij-UNIFAC (VLE)'!$X29*(1-LN(W42)-AI42)</f>
        <v>0</v>
      </c>
      <c r="AP42" s="116">
        <f>'aij-UNIFAC (VLE)'!$X29*(1-LN(X42)-AJ42)</f>
        <v>-2.2639424041780503</v>
      </c>
      <c r="AQ42" s="116">
        <f>'aij-UNIFAC (VLE)'!$X29*(1-LN(Y42)-AK42)</f>
        <v>-0.83005758177409505</v>
      </c>
      <c r="AR42" s="116">
        <f>'aij-UNIFAC (VLE)'!$X29*(1-LN(Z42)-AL42)</f>
        <v>2.4771685341597709</v>
      </c>
      <c r="AS42" s="117">
        <f>'aij-UNIFAC (VLE)'!$X29*(1-LN(AA42)-AM42)</f>
        <v>0.54025709727486049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143</v>
      </c>
      <c r="C43" s="83">
        <f>C21*SUM(C23:C42)</f>
        <v>4.7810000000000006</v>
      </c>
      <c r="D43" s="83">
        <f>D21*SUM(D23:D42)</f>
        <v>0.317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5.0980000000000008</v>
      </c>
      <c r="I43" s="118" t="s">
        <v>144</v>
      </c>
      <c r="J43" s="36">
        <f t="array" ref="J43">SUM(J23:J42*_Q)</f>
        <v>0.55714285714285716</v>
      </c>
      <c r="K43" s="36">
        <f t="array" ref="K43">SUM(K23:K42*_Q)</f>
        <v>1.4319999999999999</v>
      </c>
      <c r="L43" s="36">
        <f t="array" ref="L43">SUM(L23:L42*_Q)</f>
        <v>0.87066666666666659</v>
      </c>
      <c r="M43" s="36">
        <f t="array" ref="M43">SUM(M23:M42*_Q)</f>
        <v>0.86266666666666658</v>
      </c>
      <c r="N43" s="36">
        <f t="array" ref="N43">SUM(N23:N42*_Q)</f>
        <v>0.66320000000000001</v>
      </c>
      <c r="O43" s="36">
        <f t="array" ref="O43">SUM(O23:O42*_Q)</f>
        <v>0.61154256571204391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145</v>
      </c>
      <c r="C44" s="119">
        <f>SUM(C23:C42)</f>
        <v>7</v>
      </c>
      <c r="D44" s="119">
        <f>SUM(D23:D42)</f>
        <v>1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3.9000000000000004</v>
      </c>
      <c r="D46" s="58">
        <f t="array" ref="D46">SUM(D23:D42*_Q)</f>
        <v>1.4319999999999999</v>
      </c>
      <c r="E46" s="58">
        <f t="array" ref="E46">SUM(E23:E42*_Q)</f>
        <v>2.6120000000000001</v>
      </c>
      <c r="F46" s="58">
        <f t="array" ref="F46">SUM(F23:F42*_Q)</f>
        <v>2.5880000000000001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5.0860000000000003</v>
      </c>
      <c r="D47" s="58">
        <f t="array" ref="D47">SUM(D23:D42*_R)</f>
        <v>1.4311</v>
      </c>
      <c r="E47" s="58">
        <f t="array" ref="E47">SUM(E23:E42*_R)</f>
        <v>2.8767999999999998</v>
      </c>
      <c r="F47" s="58">
        <f t="array" ref="F47">SUM(F23:F42*_R)</f>
        <v>2.5754999999999999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146</v>
      </c>
      <c r="C48" s="58">
        <f>C21*C46/SUMPRODUCT($C46:$G46,$C21:$G21)</f>
        <v>0.85439517789715569</v>
      </c>
      <c r="D48" s="58">
        <f>D21*D46/SUMPRODUCT($C46:$G46,$C21:$G21)</f>
        <v>0.14560482210284431</v>
      </c>
      <c r="E48" s="58">
        <f>E21*E46/SUMPRODUCT($C46:$G46,$C21:$G21)</f>
        <v>8.3781214275908337E-21</v>
      </c>
      <c r="F48" s="58">
        <f>F21*F46/SUMPRODUCT($C46:$G46,$C21:$G21)</f>
        <v>8.3011402199866301E-21</v>
      </c>
      <c r="G48" s="58">
        <f>G21*G46/SUMPRODUCT($C46:$G46,$C21:$G21)</f>
        <v>1.0636236850647474E-20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147</v>
      </c>
      <c r="C49" s="58">
        <f>C21*C47/SUMPRODUCT($C47:$G47,$C21:$G21)</f>
        <v>0.88448869960093413</v>
      </c>
      <c r="D49" s="58">
        <f>D21*D47/SUMPRODUCT($C47:$G47,$C21:$G21)</f>
        <v>0.11551130039906586</v>
      </c>
      <c r="E49" s="58">
        <f>E21*E47/SUMPRODUCT($C47:$G47,$C21:$G21)</f>
        <v>7.3249539574140788E-21</v>
      </c>
      <c r="F49" s="58">
        <f>F21*F47/SUMPRODUCT($C47:$G47,$C21:$G21)</f>
        <v>6.5577791008481507E-21</v>
      </c>
      <c r="G49" s="58">
        <f>G21*G47/SUMPRODUCT($C47:$G47,$C21:$G21)</f>
        <v>9.7402943787165665E-21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148</v>
      </c>
      <c r="C50" s="58">
        <f>LN(C49/C21)+(1-C49/C21)-5*C46*(LN(C49/C48)+(1-C49/C48))</f>
        <v>-2.4671508501611844E-2</v>
      </c>
      <c r="D50" s="58">
        <f>LN(D49/D21)+(1-D49/D21)-5*D46*(LN(D49/D48)+(1-D49/D48))</f>
        <v>-0.19600740020632776</v>
      </c>
      <c r="E50" s="58">
        <f>LN(E49/E21)+(1-E49/E21)-5*E46*(LN(E49/E48)+(1-E49/E48))</f>
        <v>6.8944977989052358E-2</v>
      </c>
      <c r="F50" s="58">
        <f>LN(F49/F21)+(1-F49/F21)-5*F46*(LN(F49/F48)+(1-F49/F48))</f>
        <v>0.25518640651145086</v>
      </c>
      <c r="G50" s="58">
        <f>LN(G49/G21)+(1-G49/G21)-5*G46*(LN(G49/G48)+(1-G49/G48))</f>
        <v>6.2005722925917668E-2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149</v>
      </c>
      <c r="C51" s="58">
        <f t="array" ref="C51">SUM(C23:C42*AN23:AN42)</f>
        <v>-3.8204034929315124E-3</v>
      </c>
      <c r="D51" s="58">
        <f t="array" ref="D51">SUM(D23:D42*AO23:AO42)</f>
        <v>0</v>
      </c>
      <c r="E51" s="58">
        <f t="array" ref="E51">SUM(E23:E42*AP23:AP42)</f>
        <v>1.2930571174718444</v>
      </c>
      <c r="F51" s="58">
        <f t="array" ref="F51">SUM(F23:F42*AQ23:AQ42)</f>
        <v>1.1637997761509746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150</v>
      </c>
      <c r="C52" s="58">
        <f t="array" ref="C52">SUM(C23:C42*$AS23:$AS42)</f>
        <v>0.31377606781141232</v>
      </c>
      <c r="D52" s="58">
        <f t="array" ref="D52">SUM(D23:D42*$AS23:$AS42)</f>
        <v>1.4105969457913539</v>
      </c>
      <c r="E52" s="58">
        <f t="array" ref="E52">SUM(E23:E42*$AS23:$AS42)</f>
        <v>1.8749708746567424</v>
      </c>
      <c r="F52" s="58">
        <f t="array" ref="F52">SUM(F23:F42*$AS23:$AS42)</f>
        <v>2.2431553859557538</v>
      </c>
      <c r="G52" s="58">
        <f t="array" ref="G52">SUM(G23:G42*$AS23:$AS42)</f>
        <v>0.30289751483734229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sheetProtection sheet="1" objects="1" scenarios="1"/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BL71"/>
  <sheetViews>
    <sheetView workbookViewId="0">
      <selection activeCell="F1" sqref="F1"/>
    </sheetView>
  </sheetViews>
  <sheetFormatPr baseColWidth="10" defaultColWidth="10.6640625" defaultRowHeight="13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267</v>
      </c>
    </row>
    <row r="2" spans="1:45" s="221" customFormat="1">
      <c r="A2" s="221" t="s">
        <v>268</v>
      </c>
    </row>
    <row r="3" spans="1:45" s="221" customFormat="1">
      <c r="T3" s="221" t="s">
        <v>269</v>
      </c>
    </row>
    <row r="4" spans="1:45" s="221" customFormat="1">
      <c r="A4" s="223" t="s">
        <v>270</v>
      </c>
      <c r="T4" s="221" t="s">
        <v>271</v>
      </c>
    </row>
    <row r="5" spans="1:45" s="221" customFormat="1">
      <c r="A5" s="221" t="s">
        <v>154</v>
      </c>
    </row>
    <row r="6" spans="1:45" s="221" customFormat="1">
      <c r="A6" s="221" t="s">
        <v>272</v>
      </c>
      <c r="F6" s="224"/>
      <c r="G6" s="224"/>
      <c r="T6" s="225" t="s">
        <v>156</v>
      </c>
      <c r="U6" s="221">
        <f>'UNIFAC (VLE)'!C10</f>
        <v>25</v>
      </c>
      <c r="V6" s="221" t="s">
        <v>129</v>
      </c>
    </row>
    <row r="7" spans="1:45" ht="15">
      <c r="A7" s="222" t="s">
        <v>273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298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274</v>
      </c>
      <c r="F8" s="224"/>
      <c r="G8" s="224"/>
      <c r="H8" s="224"/>
      <c r="I8" s="224"/>
      <c r="J8" s="224"/>
      <c r="K8" s="224"/>
      <c r="L8" s="224"/>
      <c r="M8" s="224"/>
      <c r="T8" s="228" t="s">
        <v>275</v>
      </c>
      <c r="U8" s="229" t="s">
        <v>158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159</v>
      </c>
      <c r="U9" s="225" t="s">
        <v>159</v>
      </c>
      <c r="V9" s="224"/>
      <c r="W9" s="231" t="s">
        <v>160</v>
      </c>
      <c r="X9" s="232" t="s">
        <v>135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276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277</v>
      </c>
    </row>
    <row r="31" spans="1:45">
      <c r="A31" s="222" t="s">
        <v>278</v>
      </c>
    </row>
    <row r="32" spans="1:45">
      <c r="A32" s="222" t="s">
        <v>279</v>
      </c>
      <c r="T32" s="222"/>
      <c r="V32" s="221" t="s">
        <v>299</v>
      </c>
    </row>
    <row r="33" spans="1:64">
      <c r="A33" s="254"/>
      <c r="C33" s="250"/>
      <c r="D33" s="250"/>
      <c r="E33" s="250"/>
      <c r="T33" s="222"/>
      <c r="V33" s="221" t="s">
        <v>271</v>
      </c>
    </row>
    <row r="34" spans="1:64">
      <c r="A34" s="222" t="s">
        <v>266</v>
      </c>
      <c r="B34" s="222" t="s">
        <v>280</v>
      </c>
      <c r="D34" s="222" t="s">
        <v>160</v>
      </c>
      <c r="E34" s="222" t="s">
        <v>135</v>
      </c>
      <c r="U34" s="225"/>
      <c r="V34" s="256" t="s">
        <v>281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161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162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163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129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282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283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284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285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286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164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287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166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165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288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167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289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169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170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171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290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172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173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291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292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174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175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293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176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294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101</vt:i4>
      </vt:variant>
    </vt:vector>
  </HeadingPairs>
  <TitlesOfParts>
    <vt:vector size="115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  <vt:lpstr>_del1</vt:lpstr>
      <vt:lpstr>_del2</vt:lpstr>
      <vt:lpstr>UNIQUAC!_l1</vt:lpstr>
      <vt:lpstr>UNIQUAC!_l2</vt:lpstr>
      <vt:lpstr>UNIQUAC!_lf1</vt:lpstr>
      <vt:lpstr>UNIQUAC!_lf2</vt:lpstr>
      <vt:lpstr>UNIQUAC!_phi1</vt:lpstr>
      <vt:lpstr>UNIQUAC!_phi2</vt:lpstr>
      <vt:lpstr>_Q</vt:lpstr>
      <vt:lpstr>UNIQUAC!_q1</vt:lpstr>
      <vt:lpstr>UNIQUAC!_q2</vt:lpstr>
      <vt:lpstr>_QL</vt:lpstr>
      <vt:lpstr>UNIQUAC!_qp1</vt:lpstr>
      <vt:lpstr>UNIQUAC!_qp2</vt:lpstr>
      <vt:lpstr>_R</vt:lpstr>
      <vt:lpstr>UNIQUAC!_r1</vt:lpstr>
      <vt:lpstr>UNIQUAC!_r2</vt:lpstr>
      <vt:lpstr>_RL</vt:lpstr>
      <vt:lpstr>_T</vt:lpstr>
      <vt:lpstr>_T.</vt:lpstr>
      <vt:lpstr>UNIQUAC!_tau12</vt:lpstr>
      <vt:lpstr>UNIQUAC!_tau21</vt:lpstr>
      <vt:lpstr>UNIQUAC!_x1</vt:lpstr>
      <vt:lpstr>UNIQUAC!_x2</vt:lpstr>
      <vt:lpstr>A.</vt:lpstr>
      <vt:lpstr>A12_</vt:lpstr>
      <vt:lpstr>A12.</vt:lpstr>
      <vt:lpstr>A12..</vt:lpstr>
      <vt:lpstr>A21_</vt:lpstr>
      <vt:lpstr>A21.</vt:lpstr>
      <vt:lpstr>A21..</vt:lpstr>
      <vt:lpstr>act</vt:lpstr>
      <vt:lpstr>Margules!activity1</vt:lpstr>
      <vt:lpstr>Margules!activity2</vt:lpstr>
      <vt:lpstr>B.</vt:lpstr>
      <vt:lpstr>C.</vt:lpstr>
      <vt:lpstr>column</vt:lpstr>
      <vt:lpstr>g.</vt:lpstr>
      <vt:lpstr>g12.</vt:lpstr>
      <vt:lpstr>g21.</vt:lpstr>
      <vt:lpstr>galpha</vt:lpstr>
      <vt:lpstr>gam1.</vt:lpstr>
      <vt:lpstr>gam1..</vt:lpstr>
      <vt:lpstr>gam1...</vt:lpstr>
      <vt:lpstr>gam2.</vt:lpstr>
      <vt:lpstr>gam2..</vt:lpstr>
      <vt:lpstr>gam2...</vt:lpstr>
      <vt:lpstr>gamma1_</vt:lpstr>
      <vt:lpstr>Margules!gamma2_</vt:lpstr>
      <vt:lpstr>UNIQUAC5!gbeta</vt:lpstr>
      <vt:lpstr>MGaij</vt:lpstr>
      <vt:lpstr>P1sat.</vt:lpstr>
      <vt:lpstr>P1sat..</vt:lpstr>
      <vt:lpstr>P1sat...</vt:lpstr>
      <vt:lpstr>P2sat.</vt:lpstr>
      <vt:lpstr>P2sat..</vt:lpstr>
      <vt:lpstr>P2sat...</vt:lpstr>
      <vt:lpstr>Pexpt</vt:lpstr>
      <vt:lpstr>phir1</vt:lpstr>
      <vt:lpstr>Psat</vt:lpstr>
      <vt:lpstr>q</vt:lpstr>
      <vt:lpstr>'UNIFAC (LLEb)'!qL</vt:lpstr>
      <vt:lpstr>qL</vt:lpstr>
      <vt:lpstr>row</vt:lpstr>
      <vt:lpstr>T</vt:lpstr>
      <vt:lpstr>'UNIFAC (VLE)'!T_</vt:lpstr>
      <vt:lpstr>T.</vt:lpstr>
      <vt:lpstr>T..</vt:lpstr>
      <vt:lpstr>T...</vt:lpstr>
      <vt:lpstr>t12.</vt:lpstr>
      <vt:lpstr>t21.</vt:lpstr>
      <vt:lpstr>tau</vt:lpstr>
      <vt:lpstr>tauL</vt:lpstr>
      <vt:lpstr>'UNIFAC (LLEa)'!TC.</vt:lpstr>
      <vt:lpstr>'UNIFAC (LLEb)'!TC..</vt:lpstr>
      <vt:lpstr>UNIQUAC!theta1</vt:lpstr>
      <vt:lpstr>UNIQUAC!theta2</vt:lpstr>
      <vt:lpstr>UNIQUAC!thetap1</vt:lpstr>
      <vt:lpstr>UNIQUAC!thetap2</vt:lpstr>
      <vt:lpstr>UNIQUAC!TK</vt:lpstr>
      <vt:lpstr>TK</vt:lpstr>
      <vt:lpstr>V1_</vt:lpstr>
      <vt:lpstr>V2_</vt:lpstr>
      <vt:lpstr>x.</vt:lpstr>
      <vt:lpstr>x1_</vt:lpstr>
      <vt:lpstr>x1__</vt:lpstr>
      <vt:lpstr>NRTL!x1.</vt:lpstr>
      <vt:lpstr>x1.</vt:lpstr>
      <vt:lpstr>x1..</vt:lpstr>
      <vt:lpstr>x1...</vt:lpstr>
      <vt:lpstr>x2_</vt:lpstr>
      <vt:lpstr>x2.</vt:lpstr>
      <vt:lpstr>UNIQUAC5!xalpha</vt:lpstr>
      <vt:lpstr>UNIQUAC5!xbeta</vt:lpstr>
      <vt:lpstr>'UNIFAC (LLEb)'!XL</vt:lpstr>
      <vt:lpstr>y1.</vt:lpstr>
      <vt:lpstr>y1..</vt:lpstr>
      <vt:lpstr>y1...</vt:lpstr>
      <vt:lpstr>y2.</vt:lpstr>
      <vt:lpstr>y2..</vt:lpstr>
      <vt:lpstr>y2...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Microsoft Office User</cp:lastModifiedBy>
  <cp:lastPrinted>1999-12-22T07:05:21Z</cp:lastPrinted>
  <dcterms:created xsi:type="dcterms:W3CDTF">1997-12-10T20:16:28Z</dcterms:created>
  <dcterms:modified xsi:type="dcterms:W3CDTF">2021-04-14T14:09:44Z</dcterms:modified>
</cp:coreProperties>
</file>